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72" windowWidth="16608" windowHeight="7692" tabRatio="718"/>
  </bookViews>
  <sheets>
    <sheet name="Інструкція" sheetId="9" r:id="rId1"/>
    <sheet name="Базова" sheetId="7" r:id="rId2"/>
    <sheet name="Бланк" sheetId="1" r:id="rId3"/>
    <sheet name="Програма" sheetId="2" r:id="rId4"/>
    <sheet name="Таблиця" sheetId="6" r:id="rId5"/>
    <sheet name="Портрет" sheetId="8" r:id="rId6"/>
  </sheets>
  <calcPr calcId="125725"/>
</workbook>
</file>

<file path=xl/calcChain.xml><?xml version="1.0" encoding="utf-8"?>
<calcChain xmlns="http://schemas.openxmlformats.org/spreadsheetml/2006/main">
  <c r="B3" i="6"/>
  <c r="A4" i="8" l="1"/>
  <c r="I74" i="2"/>
  <c r="H74"/>
  <c r="H73"/>
  <c r="I73" s="1"/>
  <c r="H72"/>
  <c r="I72" s="1"/>
  <c r="H71"/>
  <c r="I71" s="1"/>
  <c r="H70"/>
  <c r="I70" s="1"/>
  <c r="H68"/>
  <c r="I68" s="1"/>
  <c r="H67"/>
  <c r="I67" s="1"/>
  <c r="H66"/>
  <c r="I66" s="1"/>
  <c r="H64"/>
  <c r="I64" s="1"/>
  <c r="H63"/>
  <c r="I63" s="1"/>
  <c r="H62"/>
  <c r="I62" s="1"/>
  <c r="H61"/>
  <c r="I61" s="1"/>
  <c r="H60"/>
  <c r="I60" s="1"/>
  <c r="H58"/>
  <c r="I58" s="1"/>
  <c r="H57"/>
  <c r="I57" s="1"/>
  <c r="H56"/>
  <c r="I56" s="1"/>
  <c r="H55"/>
  <c r="I55" s="1"/>
  <c r="H54"/>
  <c r="I54" s="1"/>
  <c r="H53"/>
  <c r="I53" s="1"/>
  <c r="H51"/>
  <c r="H50"/>
  <c r="H49"/>
  <c r="H48"/>
  <c r="H47"/>
  <c r="H46"/>
  <c r="H45"/>
  <c r="H44"/>
  <c r="H43"/>
  <c r="H42"/>
  <c r="K41" s="1"/>
  <c r="Q3" i="8" s="1"/>
  <c r="P3" s="1"/>
  <c r="H40" i="2"/>
  <c r="H39"/>
  <c r="H38"/>
  <c r="H37"/>
  <c r="H36"/>
  <c r="H35"/>
  <c r="H34"/>
  <c r="H33"/>
  <c r="H32"/>
  <c r="H31"/>
  <c r="H30"/>
  <c r="H29"/>
  <c r="H28"/>
  <c r="H27"/>
  <c r="H26"/>
  <c r="H25"/>
  <c r="H24"/>
  <c r="K23" s="1"/>
  <c r="Q2" i="8" s="1"/>
  <c r="P2" s="1"/>
  <c r="H15" i="2"/>
  <c r="H16"/>
  <c r="H17"/>
  <c r="H18"/>
  <c r="H19"/>
  <c r="H20"/>
  <c r="H21"/>
  <c r="H22"/>
  <c r="H14"/>
  <c r="K14"/>
  <c r="Q1" i="8" s="1"/>
  <c r="P1" s="1"/>
  <c r="K69" i="2" l="1"/>
  <c r="Q7" i="8" s="1"/>
  <c r="P7" s="1"/>
  <c r="K65" i="2"/>
  <c r="Q6" i="8" s="1"/>
  <c r="P6" s="1"/>
  <c r="K59" i="2"/>
  <c r="Q5" i="8" s="1"/>
  <c r="P5" s="1"/>
  <c r="K52" i="2"/>
  <c r="Q4" i="8" s="1"/>
  <c r="P4" s="1"/>
  <c r="B66" i="2"/>
  <c r="B17"/>
  <c r="B70"/>
  <c r="B49"/>
  <c r="B15"/>
  <c r="BD14" l="1"/>
  <c r="BJ14" s="1"/>
  <c r="BD15"/>
  <c r="BD16"/>
  <c r="AX14"/>
  <c r="AX15"/>
  <c r="AX16"/>
  <c r="AX17"/>
  <c r="AX18"/>
  <c r="AX19"/>
  <c r="AX20"/>
  <c r="AX21"/>
  <c r="AX22"/>
  <c r="AX23"/>
  <c r="AX24"/>
  <c r="M14"/>
  <c r="Q15"/>
  <c r="M16"/>
  <c r="M19"/>
  <c r="Q19"/>
  <c r="M20"/>
  <c r="N24"/>
  <c r="Q25"/>
  <c r="P28"/>
  <c r="Q28"/>
  <c r="P32"/>
  <c r="Q42"/>
  <c r="Q45"/>
  <c r="Q46"/>
  <c r="P49"/>
  <c r="Q49"/>
  <c r="P54"/>
  <c r="Q60"/>
  <c r="Q63"/>
  <c r="Q64"/>
  <c r="P68"/>
  <c r="Q68"/>
  <c r="P73"/>
  <c r="J15"/>
  <c r="J16"/>
  <c r="J17"/>
  <c r="J18"/>
  <c r="J19"/>
  <c r="J20"/>
  <c r="J21"/>
  <c r="P22"/>
  <c r="P24"/>
  <c r="N25"/>
  <c r="N26"/>
  <c r="N27"/>
  <c r="N28"/>
  <c r="N29"/>
  <c r="N30"/>
  <c r="N31"/>
  <c r="N32"/>
  <c r="N33"/>
  <c r="N34"/>
  <c r="N35"/>
  <c r="P36"/>
  <c r="N37"/>
  <c r="N38"/>
  <c r="N39"/>
  <c r="N40"/>
  <c r="N42"/>
  <c r="N43"/>
  <c r="N44"/>
  <c r="N45"/>
  <c r="N46"/>
  <c r="N47"/>
  <c r="N48"/>
  <c r="N50"/>
  <c r="N51"/>
  <c r="N53"/>
  <c r="N54"/>
  <c r="N55"/>
  <c r="N56"/>
  <c r="N57"/>
  <c r="N58"/>
  <c r="N60"/>
  <c r="N61"/>
  <c r="N62"/>
  <c r="N63"/>
  <c r="N64"/>
  <c r="N66"/>
  <c r="N67"/>
  <c r="N68"/>
  <c r="N70"/>
  <c r="N71"/>
  <c r="N72"/>
  <c r="Q73"/>
  <c r="P74"/>
  <c r="J14"/>
  <c r="A4"/>
  <c r="AW23" l="1"/>
  <c r="AW22"/>
  <c r="AW21"/>
  <c r="AW19"/>
  <c r="AW17"/>
  <c r="AW16"/>
  <c r="P44"/>
  <c r="Q35"/>
  <c r="Q72"/>
  <c r="P57"/>
  <c r="Q53"/>
  <c r="P35"/>
  <c r="Q31"/>
  <c r="P72"/>
  <c r="Q67"/>
  <c r="P63"/>
  <c r="Q58"/>
  <c r="Q55"/>
  <c r="P53"/>
  <c r="Q48"/>
  <c r="P45"/>
  <c r="P40"/>
  <c r="Q33"/>
  <c r="P31"/>
  <c r="Q27"/>
  <c r="Q22"/>
  <c r="P62"/>
  <c r="Q57"/>
  <c r="M18"/>
  <c r="M74"/>
  <c r="Q70"/>
  <c r="P67"/>
  <c r="Q62"/>
  <c r="P58"/>
  <c r="Q54"/>
  <c r="Q50"/>
  <c r="P48"/>
  <c r="Q44"/>
  <c r="Q37"/>
  <c r="Q32"/>
  <c r="Q29"/>
  <c r="P27"/>
  <c r="M22"/>
  <c r="Q18"/>
  <c r="M15"/>
  <c r="P14"/>
  <c r="Q66"/>
  <c r="AZ23" s="1"/>
  <c r="Q61"/>
  <c r="Q56"/>
  <c r="Q51"/>
  <c r="Q43"/>
  <c r="Q38"/>
  <c r="Q34"/>
  <c r="Q26"/>
  <c r="M21"/>
  <c r="Q14"/>
  <c r="P56"/>
  <c r="P55"/>
  <c r="P50"/>
  <c r="P47"/>
  <c r="P46"/>
  <c r="P43"/>
  <c r="P42"/>
  <c r="N14"/>
  <c r="N74"/>
  <c r="M73"/>
  <c r="M72"/>
  <c r="M71"/>
  <c r="M70"/>
  <c r="M68"/>
  <c r="M67"/>
  <c r="M66"/>
  <c r="M64"/>
  <c r="M62"/>
  <c r="M61"/>
  <c r="M60"/>
  <c r="M58"/>
  <c r="M57"/>
  <c r="M56"/>
  <c r="M55"/>
  <c r="M54"/>
  <c r="M53"/>
  <c r="M51"/>
  <c r="M50"/>
  <c r="M49"/>
  <c r="M48"/>
  <c r="M47"/>
  <c r="M46"/>
  <c r="M45"/>
  <c r="M44"/>
  <c r="M43"/>
  <c r="M42"/>
  <c r="M40"/>
  <c r="M38"/>
  <c r="M37"/>
  <c r="M35"/>
  <c r="M34"/>
  <c r="M33"/>
  <c r="M32"/>
  <c r="M31"/>
  <c r="M30"/>
  <c r="M29"/>
  <c r="M28"/>
  <c r="M27"/>
  <c r="M26"/>
  <c r="M25"/>
  <c r="N22"/>
  <c r="N21"/>
  <c r="N20"/>
  <c r="N19"/>
  <c r="N18"/>
  <c r="N16"/>
  <c r="N15"/>
  <c r="Q71"/>
  <c r="Q47"/>
  <c r="Q30"/>
  <c r="P71"/>
  <c r="P70"/>
  <c r="P66"/>
  <c r="P64"/>
  <c r="P61"/>
  <c r="P60"/>
  <c r="P51"/>
  <c r="AY21" s="1"/>
  <c r="P38"/>
  <c r="P37"/>
  <c r="P34"/>
  <c r="P33"/>
  <c r="P30"/>
  <c r="P29"/>
  <c r="P26"/>
  <c r="P25"/>
  <c r="Q21"/>
  <c r="Q20"/>
  <c r="Q16"/>
  <c r="Q74"/>
  <c r="N73"/>
  <c r="AW24" s="1"/>
  <c r="P21"/>
  <c r="P20"/>
  <c r="P19"/>
  <c r="AY15" s="1"/>
  <c r="P18"/>
  <c r="P16"/>
  <c r="P15"/>
  <c r="N36"/>
  <c r="AW18" s="1"/>
  <c r="M36"/>
  <c r="Q36"/>
  <c r="M39"/>
  <c r="Q39"/>
  <c r="P39"/>
  <c r="M24"/>
  <c r="Q24"/>
  <c r="M17"/>
  <c r="P17"/>
  <c r="N17"/>
  <c r="Q17"/>
  <c r="D43"/>
  <c r="I43" s="1"/>
  <c r="D44"/>
  <c r="I44" s="1"/>
  <c r="D45"/>
  <c r="I45" s="1"/>
  <c r="D46"/>
  <c r="I46" s="1"/>
  <c r="D47"/>
  <c r="I47" s="1"/>
  <c r="D48"/>
  <c r="I48" s="1"/>
  <c r="D49"/>
  <c r="I49" s="1"/>
  <c r="D50"/>
  <c r="I50" s="1"/>
  <c r="D51"/>
  <c r="I51" s="1"/>
  <c r="D42"/>
  <c r="I42" s="1"/>
  <c r="D25"/>
  <c r="I25" s="1"/>
  <c r="D26"/>
  <c r="I26" s="1"/>
  <c r="D27"/>
  <c r="I27" s="1"/>
  <c r="D28"/>
  <c r="I28" s="1"/>
  <c r="D29"/>
  <c r="I29" s="1"/>
  <c r="D30"/>
  <c r="I30" s="1"/>
  <c r="D31"/>
  <c r="I31" s="1"/>
  <c r="D32"/>
  <c r="I32" s="1"/>
  <c r="D33"/>
  <c r="I33" s="1"/>
  <c r="D34"/>
  <c r="I34" s="1"/>
  <c r="D35"/>
  <c r="I35" s="1"/>
  <c r="D36"/>
  <c r="I36" s="1"/>
  <c r="D37"/>
  <c r="I37" s="1"/>
  <c r="D38"/>
  <c r="I38" s="1"/>
  <c r="D39"/>
  <c r="I39" s="1"/>
  <c r="D40"/>
  <c r="I40" s="1"/>
  <c r="D24"/>
  <c r="I24" s="1"/>
  <c r="D15"/>
  <c r="I15" s="1"/>
  <c r="D16"/>
  <c r="I16" s="1"/>
  <c r="D17"/>
  <c r="I17" s="1"/>
  <c r="D18"/>
  <c r="I18" s="1"/>
  <c r="D19"/>
  <c r="I19" s="1"/>
  <c r="D20"/>
  <c r="I20" s="1"/>
  <c r="D21"/>
  <c r="I21" s="1"/>
  <c r="D22"/>
  <c r="I22" s="1"/>
  <c r="D14"/>
  <c r="I14" s="1"/>
  <c r="AY24" l="1"/>
  <c r="BC16"/>
  <c r="AV21"/>
  <c r="AZ20"/>
  <c r="AY16"/>
  <c r="AV15"/>
  <c r="AZ16"/>
  <c r="AV14"/>
  <c r="AW15"/>
  <c r="AV22"/>
  <c r="AY14"/>
  <c r="AY19"/>
  <c r="AY22"/>
  <c r="AY17"/>
  <c r="AZ17"/>
  <c r="AV18"/>
  <c r="AV20"/>
  <c r="AW14"/>
  <c r="AZ14"/>
  <c r="AZ22"/>
  <c r="AY23"/>
  <c r="BE16" s="1"/>
  <c r="AY18"/>
  <c r="AZ18"/>
  <c r="AZ24"/>
  <c r="BF16" s="1"/>
  <c r="AV16"/>
  <c r="AZ21"/>
  <c r="AZ15"/>
  <c r="AV17"/>
  <c r="AV19"/>
  <c r="AV24"/>
  <c r="AY20"/>
  <c r="S15"/>
  <c r="U15"/>
  <c r="V15"/>
  <c r="W15"/>
  <c r="T16"/>
  <c r="U16"/>
  <c r="V16"/>
  <c r="W16"/>
  <c r="S17"/>
  <c r="U17"/>
  <c r="V17"/>
  <c r="W17"/>
  <c r="T18"/>
  <c r="U18"/>
  <c r="V18"/>
  <c r="W18"/>
  <c r="T19"/>
  <c r="U19"/>
  <c r="V19"/>
  <c r="W19"/>
  <c r="S20"/>
  <c r="U20"/>
  <c r="V20"/>
  <c r="W20"/>
  <c r="T21"/>
  <c r="U21"/>
  <c r="V21"/>
  <c r="W21"/>
  <c r="S22"/>
  <c r="T22"/>
  <c r="V22"/>
  <c r="W22"/>
  <c r="T24"/>
  <c r="U24"/>
  <c r="V24"/>
  <c r="W24"/>
  <c r="T25"/>
  <c r="U25"/>
  <c r="V25"/>
  <c r="W25"/>
  <c r="S26"/>
  <c r="U26"/>
  <c r="V26"/>
  <c r="W26"/>
  <c r="T27"/>
  <c r="U27"/>
  <c r="V27"/>
  <c r="W27"/>
  <c r="T28"/>
  <c r="U28"/>
  <c r="V28"/>
  <c r="W28"/>
  <c r="S29"/>
  <c r="U29"/>
  <c r="V29"/>
  <c r="W29"/>
  <c r="T30"/>
  <c r="U30"/>
  <c r="V30"/>
  <c r="W30"/>
  <c r="S31"/>
  <c r="U31"/>
  <c r="V31"/>
  <c r="W31"/>
  <c r="T32"/>
  <c r="U32"/>
  <c r="V32"/>
  <c r="W32"/>
  <c r="T33"/>
  <c r="U33"/>
  <c r="V33"/>
  <c r="W33"/>
  <c r="T34"/>
  <c r="U34"/>
  <c r="W34"/>
  <c r="S35"/>
  <c r="U35"/>
  <c r="V35"/>
  <c r="W35"/>
  <c r="T36"/>
  <c r="U36"/>
  <c r="V36"/>
  <c r="W36"/>
  <c r="S37"/>
  <c r="T37"/>
  <c r="V37"/>
  <c r="W37"/>
  <c r="T38"/>
  <c r="U38"/>
  <c r="V38"/>
  <c r="W38"/>
  <c r="T39"/>
  <c r="U39"/>
  <c r="V39"/>
  <c r="W39"/>
  <c r="S40"/>
  <c r="T40"/>
  <c r="U40"/>
  <c r="T42"/>
  <c r="U42"/>
  <c r="V42"/>
  <c r="W42"/>
  <c r="T43"/>
  <c r="U43"/>
  <c r="V43"/>
  <c r="W43"/>
  <c r="T44"/>
  <c r="U44"/>
  <c r="V44"/>
  <c r="W44"/>
  <c r="S45"/>
  <c r="U45"/>
  <c r="V45"/>
  <c r="W45"/>
  <c r="T46"/>
  <c r="U46"/>
  <c r="V46"/>
  <c r="W46"/>
  <c r="T47"/>
  <c r="U47"/>
  <c r="V47"/>
  <c r="W47"/>
  <c r="S48"/>
  <c r="U48"/>
  <c r="V48"/>
  <c r="W48"/>
  <c r="U49"/>
  <c r="V49"/>
  <c r="W49"/>
  <c r="S50"/>
  <c r="T50"/>
  <c r="V50"/>
  <c r="W50"/>
  <c r="S51"/>
  <c r="U51"/>
  <c r="V51"/>
  <c r="W51"/>
  <c r="T53"/>
  <c r="U53"/>
  <c r="V53"/>
  <c r="W53"/>
  <c r="S54"/>
  <c r="U54"/>
  <c r="V54"/>
  <c r="W54"/>
  <c r="T55"/>
  <c r="U55"/>
  <c r="V55"/>
  <c r="W55"/>
  <c r="S56"/>
  <c r="T56"/>
  <c r="U56"/>
  <c r="W56"/>
  <c r="T57"/>
  <c r="U57"/>
  <c r="V57"/>
  <c r="W57"/>
  <c r="S58"/>
  <c r="Y54" s="1"/>
  <c r="T58"/>
  <c r="Z54" s="1"/>
  <c r="T60"/>
  <c r="U60"/>
  <c r="V60"/>
  <c r="W60"/>
  <c r="T61"/>
  <c r="U61"/>
  <c r="V61"/>
  <c r="W61"/>
  <c r="S62"/>
  <c r="U62"/>
  <c r="V62"/>
  <c r="W62"/>
  <c r="T63"/>
  <c r="U63"/>
  <c r="V63"/>
  <c r="W63"/>
  <c r="S64"/>
  <c r="T64"/>
  <c r="V64"/>
  <c r="W64"/>
  <c r="T66"/>
  <c r="U66"/>
  <c r="V66"/>
  <c r="W66"/>
  <c r="S67"/>
  <c r="U67"/>
  <c r="V67"/>
  <c r="W67"/>
  <c r="T68"/>
  <c r="U68"/>
  <c r="V68"/>
  <c r="W68"/>
  <c r="S70"/>
  <c r="T70"/>
  <c r="V70"/>
  <c r="W70"/>
  <c r="T71"/>
  <c r="U71"/>
  <c r="V71"/>
  <c r="W71"/>
  <c r="S72"/>
  <c r="T72"/>
  <c r="U72"/>
  <c r="W72"/>
  <c r="S73"/>
  <c r="T73"/>
  <c r="U73"/>
  <c r="V73"/>
  <c r="S74"/>
  <c r="T74"/>
  <c r="V74"/>
  <c r="W74"/>
  <c r="B74"/>
  <c r="U74" s="1"/>
  <c r="B73"/>
  <c r="W73" s="1"/>
  <c r="B72"/>
  <c r="V72" s="1"/>
  <c r="B71"/>
  <c r="S71" s="1"/>
  <c r="U70"/>
  <c r="B69"/>
  <c r="B68"/>
  <c r="S68" s="1"/>
  <c r="B67"/>
  <c r="T67" s="1"/>
  <c r="S66"/>
  <c r="B65"/>
  <c r="B61"/>
  <c r="S61" s="1"/>
  <c r="B62"/>
  <c r="T62" s="1"/>
  <c r="B63"/>
  <c r="B64"/>
  <c r="U64" s="1"/>
  <c r="B60"/>
  <c r="S60" s="1"/>
  <c r="B59"/>
  <c r="B58"/>
  <c r="B57"/>
  <c r="S57" s="1"/>
  <c r="B56"/>
  <c r="V56" s="1"/>
  <c r="B55"/>
  <c r="S55" s="1"/>
  <c r="B54"/>
  <c r="T54" s="1"/>
  <c r="B53"/>
  <c r="S53" s="1"/>
  <c r="B52"/>
  <c r="B42"/>
  <c r="S42" s="1"/>
  <c r="B43"/>
  <c r="S43" s="1"/>
  <c r="B44"/>
  <c r="S44" s="1"/>
  <c r="B45"/>
  <c r="T45" s="1"/>
  <c r="B46"/>
  <c r="S46" s="1"/>
  <c r="B47"/>
  <c r="S47" s="1"/>
  <c r="B48"/>
  <c r="T48" s="1"/>
  <c r="B50"/>
  <c r="U50" s="1"/>
  <c r="B51"/>
  <c r="T51" s="1"/>
  <c r="B40"/>
  <c r="B41"/>
  <c r="B23"/>
  <c r="B24"/>
  <c r="S24" s="1"/>
  <c r="B25"/>
  <c r="S25" s="1"/>
  <c r="B26"/>
  <c r="T26" s="1"/>
  <c r="B27"/>
  <c r="S27" s="1"/>
  <c r="B28"/>
  <c r="S28" s="1"/>
  <c r="B29"/>
  <c r="T29" s="1"/>
  <c r="B30"/>
  <c r="S30" s="1"/>
  <c r="B31"/>
  <c r="T31" s="1"/>
  <c r="B32"/>
  <c r="S32" s="1"/>
  <c r="B33"/>
  <c r="S33" s="1"/>
  <c r="B34"/>
  <c r="S34" s="1"/>
  <c r="B35"/>
  <c r="T35" s="1"/>
  <c r="B36"/>
  <c r="S36" s="1"/>
  <c r="B37"/>
  <c r="U37" s="1"/>
  <c r="B38"/>
  <c r="S38" s="1"/>
  <c r="B39"/>
  <c r="S39" s="1"/>
  <c r="B13"/>
  <c r="T15"/>
  <c r="B16"/>
  <c r="S16" s="1"/>
  <c r="T17"/>
  <c r="B18"/>
  <c r="S18" s="1"/>
  <c r="B19"/>
  <c r="S19" s="1"/>
  <c r="B20"/>
  <c r="T20" s="1"/>
  <c r="B21"/>
  <c r="B22"/>
  <c r="U22" s="1"/>
  <c r="B14"/>
  <c r="T14" s="1"/>
  <c r="BB14" l="1"/>
  <c r="BB15"/>
  <c r="BE14"/>
  <c r="BC14"/>
  <c r="BE15"/>
  <c r="BF14"/>
  <c r="S21"/>
  <c r="Y15" s="1"/>
  <c r="V58"/>
  <c r="AB54" s="1"/>
  <c r="V34"/>
  <c r="AB26" s="1"/>
  <c r="V40"/>
  <c r="AB27" s="1"/>
  <c r="Q40"/>
  <c r="AZ19" s="1"/>
  <c r="BF15" s="1"/>
  <c r="M63"/>
  <c r="AV23" s="1"/>
  <c r="BB16" s="1"/>
  <c r="S49"/>
  <c r="Y43" s="1"/>
  <c r="N49"/>
  <c r="AW20" s="1"/>
  <c r="BC15" s="1"/>
  <c r="W58"/>
  <c r="AC54" s="1"/>
  <c r="U58"/>
  <c r="AA54" s="1"/>
  <c r="AA70"/>
  <c r="AF70" s="1"/>
  <c r="AC70"/>
  <c r="AH70" s="1"/>
  <c r="AC60"/>
  <c r="AH60" s="1"/>
  <c r="AC53"/>
  <c r="AC42"/>
  <c r="AC25"/>
  <c r="AC24"/>
  <c r="AC66"/>
  <c r="AH66" s="1"/>
  <c r="AC43"/>
  <c r="AC26"/>
  <c r="AC15"/>
  <c r="AB70"/>
  <c r="AG70" s="1"/>
  <c r="AB66"/>
  <c r="AG66" s="1"/>
  <c r="AB60"/>
  <c r="AG60" s="1"/>
  <c r="AB53"/>
  <c r="AB43"/>
  <c r="AB42"/>
  <c r="AB25"/>
  <c r="AB24"/>
  <c r="AB15"/>
  <c r="Z15"/>
  <c r="AA66"/>
  <c r="AF66" s="1"/>
  <c r="AA43"/>
  <c r="AA42"/>
  <c r="AA26"/>
  <c r="AA24"/>
  <c r="AA15"/>
  <c r="AA60"/>
  <c r="AF60" s="1"/>
  <c r="AA53"/>
  <c r="AA27"/>
  <c r="AA25"/>
  <c r="Z14"/>
  <c r="Z66"/>
  <c r="AE66" s="1"/>
  <c r="Z60"/>
  <c r="AE60" s="1"/>
  <c r="Z53"/>
  <c r="AE53" s="1"/>
  <c r="Z42"/>
  <c r="Z27"/>
  <c r="Z26"/>
  <c r="Z24"/>
  <c r="Z70"/>
  <c r="AE70" s="1"/>
  <c r="Z25"/>
  <c r="Y42"/>
  <c r="Y53"/>
  <c r="AD53" s="1"/>
  <c r="Y26"/>
  <c r="Y70"/>
  <c r="AD70" s="1"/>
  <c r="Y24"/>
  <c r="Y66"/>
  <c r="AD66" s="1"/>
  <c r="Y25"/>
  <c r="Y27"/>
  <c r="S14"/>
  <c r="Y14" s="1"/>
  <c r="BK14" l="1"/>
  <c r="B9" i="6" s="1"/>
  <c r="BH14" i="2"/>
  <c r="B6" i="6" s="1"/>
  <c r="BI14" i="2"/>
  <c r="D6" i="6" s="1"/>
  <c r="BL14" i="2"/>
  <c r="D9" i="6" s="1"/>
  <c r="S63" i="2"/>
  <c r="Y60" s="1"/>
  <c r="AD60" s="1"/>
  <c r="T49"/>
  <c r="Z43" s="1"/>
  <c r="AE42" s="1"/>
  <c r="W40"/>
  <c r="AC27" s="1"/>
  <c r="AH24" s="1"/>
  <c r="AL15"/>
  <c r="AM15"/>
  <c r="AJ15"/>
  <c r="AN15"/>
  <c r="AK15"/>
  <c r="V14"/>
  <c r="AB14" s="1"/>
  <c r="AG14" s="1"/>
  <c r="W14"/>
  <c r="AC14" s="1"/>
  <c r="AH14" s="1"/>
  <c r="AF53"/>
  <c r="AG53"/>
  <c r="AH53"/>
  <c r="U14"/>
  <c r="AA14" s="1"/>
  <c r="AF14" s="1"/>
  <c r="AH42"/>
  <c r="AG42"/>
  <c r="AF42"/>
  <c r="AG24"/>
  <c r="AE24"/>
  <c r="AE14"/>
  <c r="AF24"/>
  <c r="AD42"/>
  <c r="AD14"/>
  <c r="AD24"/>
  <c r="L13"/>
  <c r="I13" s="1"/>
  <c r="L23"/>
  <c r="I23" s="1"/>
  <c r="L41"/>
  <c r="I41" s="1"/>
  <c r="L59"/>
  <c r="I59" s="1"/>
  <c r="L69"/>
  <c r="I69" s="1"/>
  <c r="L65"/>
  <c r="I65" s="1"/>
  <c r="L52"/>
  <c r="I52" s="1"/>
  <c r="F90" i="1"/>
  <c r="B89"/>
  <c r="B88"/>
  <c r="B87"/>
  <c r="B86"/>
  <c r="B85"/>
  <c r="B84"/>
  <c r="B83"/>
  <c r="AK14" i="2" l="1"/>
  <c r="AM14"/>
  <c r="AR14" s="1"/>
  <c r="AL14"/>
  <c r="AN14"/>
  <c r="AS14" s="1"/>
  <c r="AJ14"/>
  <c r="C6"/>
  <c r="C7" s="1"/>
  <c r="AO14" l="1"/>
  <c r="AQ14"/>
  <c r="AP14"/>
</calcChain>
</file>

<file path=xl/comments1.xml><?xml version="1.0" encoding="utf-8"?>
<comments xmlns="http://schemas.openxmlformats.org/spreadsheetml/2006/main">
  <authors>
    <author>MGS</author>
  </authors>
  <commentList>
    <comment ref="A3" authorId="0">
      <text>
        <r>
          <rPr>
            <b/>
            <sz val="14"/>
            <color indexed="81"/>
            <rFont val="Times New Roman"/>
            <family val="1"/>
            <charset val="204"/>
          </rPr>
          <t>Вказати назву закладу позашкільної освііти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<sst xmlns="http://schemas.openxmlformats.org/spreadsheetml/2006/main" count="409" uniqueCount="391">
  <si>
    <t>№</t>
  </si>
  <si>
    <t>Критерій</t>
  </si>
  <si>
    <t>Експертна оцінка</t>
  </si>
  <si>
    <t>І.</t>
  </si>
  <si>
    <t>ІІ.</t>
  </si>
  <si>
    <t>Система управління ЗПО</t>
  </si>
  <si>
    <t>Наявність усіх органів управління закладом</t>
  </si>
  <si>
    <t>Результативність роботи загальних зборів (конференції) закладу</t>
  </si>
  <si>
    <t>Результативність роботи педагогічної ради, введення в дію її рішень</t>
  </si>
  <si>
    <t>Координація взаємодії всіх підрозділів закладу</t>
  </si>
  <si>
    <t>Системність інформаційного забезпечення управління закладом</t>
  </si>
  <si>
    <t>Організація освітнього процесу в ЗПО</t>
  </si>
  <si>
    <t>Міжнародна співпраця</t>
  </si>
  <si>
    <t>Комплектування гуртків, груп та інших творчих об'єднань</t>
  </si>
  <si>
    <t>Динаміка контингенту вихованців</t>
  </si>
  <si>
    <t>Організація інклюзивної освіти (за наявності таких дітей у закладі)</t>
  </si>
  <si>
    <t>Організація культурно-дозвіллєвої діяльності вихованців</t>
  </si>
  <si>
    <t>Організація участі дітей в організаційно-масових заходах різних рівнів</t>
  </si>
  <si>
    <t>Ефективність участі дітей в організаційно-масових заходах різних рівнів</t>
  </si>
  <si>
    <t>Створення сприятливого соціально-психологічного клімату</t>
  </si>
  <si>
    <t>ІІІ.</t>
  </si>
  <si>
    <t>Робота з педагогічними кадрами</t>
  </si>
  <si>
    <t>Забезпеченість закладу педагогічними працівниками</t>
  </si>
  <si>
    <t>Створення сприятливого мотиваційного середовища в закладі</t>
  </si>
  <si>
    <t>Готовність педколективу до інноваційної діяльності</t>
  </si>
  <si>
    <t>Забезпечення безперервної освіти педагогічних кадрів</t>
  </si>
  <si>
    <t>IV.</t>
  </si>
  <si>
    <t>Раціональність використання приміщень закладу відповідно до його потреб і завдань</t>
  </si>
  <si>
    <t>Надання платних послуг у сфері позашкільної освіти</t>
  </si>
  <si>
    <t>V.</t>
  </si>
  <si>
    <t>Робота в системі «Заклад – сім’я – соціальне середовище»</t>
  </si>
  <si>
    <t>Робота з дітьми із соціальних категорій, які потребують підтримки</t>
  </si>
  <si>
    <t>VІ.</t>
  </si>
  <si>
    <t>Відповідність режиму роботи закладу санітарно-гігієнічним вимогам</t>
  </si>
  <si>
    <t>Дотримання вимог техніки безпеки, температурного режиму та санітарно-гігієнічних норм</t>
  </si>
  <si>
    <t>VІІ.</t>
  </si>
  <si>
    <t>Естетичність оформлення приміщень закладу (зовнішнє та внутрішнє)</t>
  </si>
  <si>
    <t>Критерії оцінювання:</t>
  </si>
  <si>
    <t>Піар-менеджмент</t>
  </si>
  <si>
    <t>Організація гурткової  роботи</t>
  </si>
  <si>
    <t>Організація  індивідуальної роботи</t>
  </si>
  <si>
    <t>Взаємодія із закладами освіти, які діють у мікрорайоні</t>
  </si>
  <si>
    <t xml:space="preserve">Розвиток матеріально-технічної бази закладу, раціональність її використання
</t>
  </si>
  <si>
    <t>Коефіцієнт</t>
  </si>
  <si>
    <t>Оптимальність організаційної структури закладу</t>
  </si>
  <si>
    <t>Робота з молодими спеціалістами</t>
  </si>
  <si>
    <t>Взаємодія з соціальними службами та державними  інституціями</t>
  </si>
  <si>
    <t>Відповідність статуту закладу його місії та візії</t>
  </si>
  <si>
    <t>Відповідність освітньої програми меті, завданням діяльності закладу</t>
  </si>
  <si>
    <t>Наявність необхідних навчальних програм, їх відповідність навчальному плану</t>
  </si>
  <si>
    <t>Спрямованість освітнього процесу на підготовку до майбутньої професії (профілізація)</t>
  </si>
  <si>
    <t>Участь органів учнівського самоврядування в управлінні закладом</t>
  </si>
  <si>
    <t>Створення системи методичного супроводу освітнього процесу</t>
  </si>
  <si>
    <t>Командна взаємодія педагогів з дітьми</t>
  </si>
  <si>
    <t>Раціональність використання землі (території), яка надана закладу, відповідно до його потреб та завдань</t>
  </si>
  <si>
    <t>Взаємодія з батьками вихованців</t>
  </si>
  <si>
    <t>Співпраця з громадськими та благодійними інституціями</t>
  </si>
  <si>
    <t>Забезпечення безпечного освітнього середовища закладу</t>
  </si>
  <si>
    <t>Використання інфраструктурного розташування для формування контингенту вихованців (транспортні розв’язки, житловий район, розташування поблизу закладів загальної середньої освіти…)</t>
  </si>
  <si>
    <t>Інформаційна відкритість закладу. Співпраця із засобами масової інформації.</t>
  </si>
  <si>
    <t>Ефективність вебсайту</t>
  </si>
  <si>
    <t>Формування репутації закладу</t>
  </si>
  <si>
    <t>SWOT-аналізу діяльності  закладу позашкільної освіти</t>
  </si>
  <si>
    <t>І</t>
  </si>
  <si>
    <t>IV</t>
  </si>
  <si>
    <t>V</t>
  </si>
  <si>
    <t>VI</t>
  </si>
  <si>
    <t>VII</t>
  </si>
  <si>
    <t>Сильні сторони</t>
  </si>
  <si>
    <t>Можливості</t>
  </si>
  <si>
    <t>Загрози</t>
  </si>
  <si>
    <t>II</t>
  </si>
  <si>
    <t>III</t>
  </si>
  <si>
    <t>Система управління</t>
  </si>
  <si>
    <t>Робота з педкадрами</t>
  </si>
  <si>
    <t>Безпечне освітнє середовище</t>
  </si>
  <si>
    <t xml:space="preserve">Статут. </t>
  </si>
  <si>
    <t xml:space="preserve">План роботи. </t>
  </si>
  <si>
    <t xml:space="preserve">Органи управління. </t>
  </si>
  <si>
    <t xml:space="preserve">Взаємодія підрозділів. </t>
  </si>
  <si>
    <t xml:space="preserve">Загальні збори. </t>
  </si>
  <si>
    <t xml:space="preserve">Педрада. </t>
  </si>
  <si>
    <t xml:space="preserve">Інформаційне забезпечення. </t>
  </si>
  <si>
    <t xml:space="preserve">Роботв зі стейкхолдерами. </t>
  </si>
  <si>
    <t xml:space="preserve">Комплектування гуртків. </t>
  </si>
  <si>
    <t xml:space="preserve">Динаміка контингенту. </t>
  </si>
  <si>
    <t xml:space="preserve">Гурткова робота. </t>
  </si>
  <si>
    <t xml:space="preserve">Індивідуальна робота. </t>
  </si>
  <si>
    <t xml:space="preserve">Дистанційна освіта. </t>
  </si>
  <si>
    <t xml:space="preserve">Інклюзія. </t>
  </si>
  <si>
    <t xml:space="preserve">Освітня програма. </t>
  </si>
  <si>
    <t xml:space="preserve">Навчальні програми. </t>
  </si>
  <si>
    <t xml:space="preserve">Профілізація. </t>
  </si>
  <si>
    <t xml:space="preserve">Цифрові технології. </t>
  </si>
  <si>
    <t xml:space="preserve">Заслужені, народні колективи. </t>
  </si>
  <si>
    <t xml:space="preserve">Організація участі в заходах. </t>
  </si>
  <si>
    <t xml:space="preserve">Результативність участі в заходах. </t>
  </si>
  <si>
    <t xml:space="preserve">Культурне дозвілля. </t>
  </si>
  <si>
    <t xml:space="preserve">Учнівське самоврядування. </t>
  </si>
  <si>
    <t xml:space="preserve">Міжнародна співпраця. </t>
  </si>
  <si>
    <t xml:space="preserve">Забезпеченість кадрами. </t>
  </si>
  <si>
    <t xml:space="preserve">Розподіл педкадрів. </t>
  </si>
  <si>
    <t xml:space="preserve">Стабільність педскладу. </t>
  </si>
  <si>
    <t xml:space="preserve">Робота з молодими спеціалістами. </t>
  </si>
  <si>
    <t xml:space="preserve">Методичний супровід. </t>
  </si>
  <si>
    <t xml:space="preserve">Мотиваційне середовище. </t>
  </si>
  <si>
    <t xml:space="preserve">Готовність до інновацій. </t>
  </si>
  <si>
    <t xml:space="preserve">Hard skills. soft skills; digitalskills. </t>
  </si>
  <si>
    <t xml:space="preserve">Взаємодія з дітьми. </t>
  </si>
  <si>
    <t xml:space="preserve">Безперервна освіта педкадрів. </t>
  </si>
  <si>
    <t xml:space="preserve">Необхідні приміщення. </t>
  </si>
  <si>
    <t xml:space="preserve">Відповідність приміщень. </t>
  </si>
  <si>
    <t xml:space="preserve">Використання землі. </t>
  </si>
  <si>
    <t xml:space="preserve">Платні послуги. </t>
  </si>
  <si>
    <t xml:space="preserve">Додаткові джерела фінансування. </t>
  </si>
  <si>
    <t xml:space="preserve">Взаємодія з батьками. </t>
  </si>
  <si>
    <t xml:space="preserve">Взаємодія з закладами освіти. </t>
  </si>
  <si>
    <t xml:space="preserve">Взаємодія з соцслужбами. </t>
  </si>
  <si>
    <t xml:space="preserve">Співпраця з ГО, БФ. </t>
  </si>
  <si>
    <t xml:space="preserve">Режим роботи. </t>
  </si>
  <si>
    <t xml:space="preserve">Техніка безпеки. </t>
  </si>
  <si>
    <t xml:space="preserve">Санітарія. </t>
  </si>
  <si>
    <t xml:space="preserve">Інфраструктурні умови. </t>
  </si>
  <si>
    <t xml:space="preserve">Інформаційна відкритість. </t>
  </si>
  <si>
    <t xml:space="preserve">Вебсайт. </t>
  </si>
  <si>
    <t xml:space="preserve">Репутація ЗПО. </t>
  </si>
  <si>
    <t xml:space="preserve">Естетичність ЗПО. </t>
  </si>
  <si>
    <t xml:space="preserve">Соціально-психологічний клімат. </t>
  </si>
  <si>
    <t xml:space="preserve">Робота з дітьми соцкатегорій. </t>
  </si>
  <si>
    <t xml:space="preserve">Структура ЗПО. </t>
  </si>
  <si>
    <t xml:space="preserve">Використання приміщень. </t>
  </si>
  <si>
    <t>Ваго-мість  (m)</t>
  </si>
  <si>
    <t>Фактори (Ф)</t>
  </si>
  <si>
    <t>m1 = 0,21</t>
  </si>
  <si>
    <t>1. Відповідність статуту закладу його місії та візії</t>
  </si>
  <si>
    <t>Ваго- мість       (v)</t>
  </si>
  <si>
    <t>3. Наявність усіх органів управління закладом</t>
  </si>
  <si>
    <t>4. Оптимальність організаційної структури закладу</t>
  </si>
  <si>
    <t>5. Координація взаємодії всіх підрозділів закладу</t>
  </si>
  <si>
    <t>6. Результативність роботи загальних зборів (конференції) закладу</t>
  </si>
  <si>
    <t>7. Результативність роботи педагогічної ради, введення в дію її рішень</t>
  </si>
  <si>
    <t>8. Системність інформаційного забезпечення управління закладом</t>
  </si>
  <si>
    <t>К6=</t>
  </si>
  <si>
    <t>v1=0,1</t>
  </si>
  <si>
    <t>v2=0,14</t>
  </si>
  <si>
    <t>v3=0,13</t>
  </si>
  <si>
    <t>v4=0,13</t>
  </si>
  <si>
    <t>v5=0,14</t>
  </si>
  <si>
    <t>v6=0,1</t>
  </si>
  <si>
    <t>v7=0,13</t>
  </si>
  <si>
    <t>v8=0,08</t>
  </si>
  <si>
    <t>v9=0,05</t>
  </si>
  <si>
    <t>1. Система управління закладом</t>
  </si>
  <si>
    <t>2. Організація освітнього процесу</t>
  </si>
  <si>
    <t>m2 = 0,25</t>
  </si>
  <si>
    <t>10. Комплектування гуртків, груп та інших творчих об'єднань</t>
  </si>
  <si>
    <t>11. Динаміка контингенту вихованців</t>
  </si>
  <si>
    <t>12. Організація гурткової  роботи</t>
  </si>
  <si>
    <t>13. Організація  індивідуальної роботи</t>
  </si>
  <si>
    <t>v10=0,06</t>
  </si>
  <si>
    <t>15. Організація інклюзивної освіти (за наявності таких дітей у закладі)</t>
  </si>
  <si>
    <t>16. Відповідність освітньої програми меті, завданням діяльності закладу</t>
  </si>
  <si>
    <t>17. Наявність необхідних навчальних програм, їх відповідність навчальному плану</t>
  </si>
  <si>
    <t>18. Спрямованість освітнього процесу на підготовку до майбутньої професії (профілізація)</t>
  </si>
  <si>
    <t>21. Організація участі дітей в організаційно-масових заходах різних рівнів</t>
  </si>
  <si>
    <t>22. Ефективність участі дітей в організаційно-масових заходах різних рівнів</t>
  </si>
  <si>
    <t>23. Організація культурно-дозвіллєвої діяльності вихованців</t>
  </si>
  <si>
    <t>24. Участь органів учнівського самоврядування в управлінні закладом</t>
  </si>
  <si>
    <t>25. Створення сприятливого соціально-психологічного клімату</t>
  </si>
  <si>
    <t>26. Міжнародна співпраця</t>
  </si>
  <si>
    <t>v11=0,04</t>
  </si>
  <si>
    <t>v12=0,11</t>
  </si>
  <si>
    <t>v13=0,1</t>
  </si>
  <si>
    <t>v14=0,05</t>
  </si>
  <si>
    <t>v15=0,04</t>
  </si>
  <si>
    <t>v16=0,1</t>
  </si>
  <si>
    <t>v17=0,1</t>
  </si>
  <si>
    <t>v18=0,08</t>
  </si>
  <si>
    <t>v19=0,04</t>
  </si>
  <si>
    <t>v20=0,04</t>
  </si>
  <si>
    <t>v23=0,04</t>
  </si>
  <si>
    <t>v24=0,05</t>
  </si>
  <si>
    <t>v21=0,06</t>
  </si>
  <si>
    <t>v22=0,04</t>
  </si>
  <si>
    <t>v25=0,03</t>
  </si>
  <si>
    <t>v26=0,02</t>
  </si>
  <si>
    <t>3. Робота з педагогічними кадрами</t>
  </si>
  <si>
    <t>m3 = 0,14</t>
  </si>
  <si>
    <t>v27=0,13</t>
  </si>
  <si>
    <t>v28=0,1</t>
  </si>
  <si>
    <t>v29=0,1</t>
  </si>
  <si>
    <t>v32=0,1</t>
  </si>
  <si>
    <t>v31=0,17</t>
  </si>
  <si>
    <t>27. Забезпеченість закладу педагогічними працівниками</t>
  </si>
  <si>
    <t>29. Стабільності складу педагогічного колективу</t>
  </si>
  <si>
    <t>30. Робота з молодими спеціалістами</t>
  </si>
  <si>
    <t>31. Створення системи методичного супроводу освітнього процесу</t>
  </si>
  <si>
    <t>32. Створення сприятливого мотиваційного середовища в закладі</t>
  </si>
  <si>
    <t>33. Готовність педколективу до інноваційної діяльності</t>
  </si>
  <si>
    <t>35. Командна взаємодія педагогів з дітьми</t>
  </si>
  <si>
    <t>36. Забезпечення безперервної освіти педагогічних кадрів</t>
  </si>
  <si>
    <t>v30=0,6</t>
  </si>
  <si>
    <t>v33=0,09</t>
  </si>
  <si>
    <t>v34=0,06</t>
  </si>
  <si>
    <t>v35=0,09</t>
  </si>
  <si>
    <t>v36=0,1</t>
  </si>
  <si>
    <t>4. Розвиток матеріально-технічної бази закладу, раціональність її використання</t>
  </si>
  <si>
    <t>m4 = 0,13</t>
  </si>
  <si>
    <t>39. Раціональність використання землі (території), яка надана закладу, відповідно до його потреб та завдань</t>
  </si>
  <si>
    <t>40. Раціональність використання приміщень закладу відповідно до його потреб і завдань</t>
  </si>
  <si>
    <t>41. Надання платних послуг у сфері позашкільної освіти</t>
  </si>
  <si>
    <t>v37=0,22</t>
  </si>
  <si>
    <t>v38=0,22</t>
  </si>
  <si>
    <t>v39=0,12</t>
  </si>
  <si>
    <t>v40=0,13</t>
  </si>
  <si>
    <t>v41=0,14</t>
  </si>
  <si>
    <t>v42=0,17</t>
  </si>
  <si>
    <t>5. Робота в системі «Заклад – сім’я – соціальне середовище»</t>
  </si>
  <si>
    <t>43. Взаємодія з батьками вихованців</t>
  </si>
  <si>
    <t>44. Взаємодія із закладами освіти, які діють у мікрорайоні</t>
  </si>
  <si>
    <t>45. Взаємодія з соціальними службами та державними  інституціями</t>
  </si>
  <si>
    <t>46. Робота з дітьми із соціальних категорій, які потребують підтримки</t>
  </si>
  <si>
    <t>47. Співпраця з громадськими та благодійними інституціями</t>
  </si>
  <si>
    <t>m5 = 0,09</t>
  </si>
  <si>
    <t>v43=0,3</t>
  </si>
  <si>
    <t>v44=0,2</t>
  </si>
  <si>
    <t>v45=0,15</t>
  </si>
  <si>
    <t>v46=0,25</t>
  </si>
  <si>
    <t>v47=0,1</t>
  </si>
  <si>
    <t>6. Забезпечення безпечного освітнього середовища закладу</t>
  </si>
  <si>
    <t>m6 = 0,11</t>
  </si>
  <si>
    <t>v48=0,25</t>
  </si>
  <si>
    <t>v49=0,55</t>
  </si>
  <si>
    <t>v50=0,2</t>
  </si>
  <si>
    <t>51. Використання інфраструктурного розташування для формування контингенту вихованців (транспортні розв’язки, житловий район, розташування поблизу закладів загальної середньої освіти…)</t>
  </si>
  <si>
    <t>52. Інформаційна відкритість закладу. Співпраця із засобами масової інформації.</t>
  </si>
  <si>
    <t>53. Ефективність вебсайту</t>
  </si>
  <si>
    <t>55. Естетичність оформлення приміщень закладу (зовнішнє та внутрішнє)</t>
  </si>
  <si>
    <t>v51=0,3</t>
  </si>
  <si>
    <t>v52=0,27</t>
  </si>
  <si>
    <t>v53=0,32</t>
  </si>
  <si>
    <t>v54=0,11</t>
  </si>
  <si>
    <t>v55=1,11</t>
  </si>
  <si>
    <t>m7 = 0,07</t>
  </si>
  <si>
    <t>7. Піар-менеджмент</t>
  </si>
  <si>
    <t>Критерії (К)</t>
  </si>
  <si>
    <t>Ф1= m1(v1* k1+
+v2*k2+v3*k3+
+v4*k4+v5*k5+  +v6*k6+v7*k7+  +v8*k8+v9*k9)</t>
  </si>
  <si>
    <t>Ф2= m2(v10*k10+ +v11*k11+v12*k12+
+v13*k13+v14*k14+ +v15*k15+v16*k16+ +v17*k17+v18*k18+ +v19*k19+v20*k20+ +v21*k21+v22*k22+ +v23*k23+v24*k24+ +v25*k25+v26*k26)</t>
  </si>
  <si>
    <t>Ф3= m3(v27* k27+
+v28*k28+v29*k29+
+v30*k30+v31*k31+  +v32*k32+v33*k33+  +v34*k34+v35*k35++v36*k36)</t>
  </si>
  <si>
    <t>Ф4= m4(v37* k37+
+v38*k38+v39*k39+
+v40*k40+v41*k41+  +v42*k42)</t>
  </si>
  <si>
    <t>Ф5= m5(v43* k43+
+v44*k44+v45*k45+
+v46*k46+v47*k47)</t>
  </si>
  <si>
    <t>Ф6= m6(v48* k48+
+v49*k49+v50*k50)</t>
  </si>
  <si>
    <t>Ф7= m7(v51* k51+
+v52*k52+v53*k53+
+v54*k54+v55*k55)</t>
  </si>
  <si>
    <t>Коефі-цієнт відпо-відності</t>
  </si>
  <si>
    <t>критичний</t>
  </si>
  <si>
    <t>високий</t>
  </si>
  <si>
    <t>середній</t>
  </si>
  <si>
    <t>низький</t>
  </si>
  <si>
    <t>мінімальний</t>
  </si>
  <si>
    <t>SWOT-аналізу діяльності закладу позашкільної освіти</t>
  </si>
  <si>
    <t>експерти</t>
  </si>
  <si>
    <t>μ</t>
  </si>
  <si>
    <t>В и с н о в о к:</t>
  </si>
  <si>
    <t>Підсумкова кількість балів:</t>
  </si>
  <si>
    <t xml:space="preserve">Організація освітнього процесу </t>
  </si>
  <si>
    <t xml:space="preserve">Матеріально-технічна база
</t>
  </si>
  <si>
    <t>«Заклад – сім’я – соціальне середовище»</t>
  </si>
  <si>
    <t>Графічний портрет</t>
  </si>
  <si>
    <t>Рівень конкурентних переваг закладу:</t>
  </si>
  <si>
    <t>конкурентних переваг</t>
  </si>
  <si>
    <t>ФФФФ ФФФФ ФФФФ</t>
  </si>
  <si>
    <t>закладу позашкільної освіти</t>
  </si>
  <si>
    <t>Результат</t>
  </si>
  <si>
    <t>SWOT-аналіз</t>
  </si>
  <si>
    <t>діяльності закладу позашкільної освіти</t>
  </si>
  <si>
    <t>Слабкі сторони</t>
  </si>
  <si>
    <t>Протокол</t>
  </si>
  <si>
    <t>факторно-критеріальної субмоделі</t>
  </si>
  <si>
    <t>Коеф. відпо-відості (K)</t>
  </si>
  <si>
    <t>K1=</t>
  </si>
  <si>
    <t>K2=</t>
  </si>
  <si>
    <t>K3=</t>
  </si>
  <si>
    <t>K4=</t>
  </si>
  <si>
    <t>K5=</t>
  </si>
  <si>
    <t>K7=</t>
  </si>
  <si>
    <t>K8=</t>
  </si>
  <si>
    <t>K9=</t>
  </si>
  <si>
    <t>K10=</t>
  </si>
  <si>
    <t>K11=</t>
  </si>
  <si>
    <t>K12=</t>
  </si>
  <si>
    <t>K13=</t>
  </si>
  <si>
    <t>K14=</t>
  </si>
  <si>
    <t>K15=</t>
  </si>
  <si>
    <t>K16=</t>
  </si>
  <si>
    <t>K17=</t>
  </si>
  <si>
    <t>K18=</t>
  </si>
  <si>
    <t>K19=</t>
  </si>
  <si>
    <t>K20=</t>
  </si>
  <si>
    <t>K21=</t>
  </si>
  <si>
    <t>K22=</t>
  </si>
  <si>
    <t>K23=</t>
  </si>
  <si>
    <t>K24=</t>
  </si>
  <si>
    <t>K25=</t>
  </si>
  <si>
    <t>K26=</t>
  </si>
  <si>
    <t>K27=</t>
  </si>
  <si>
    <t>K28=</t>
  </si>
  <si>
    <t>K29=</t>
  </si>
  <si>
    <t>K30=</t>
  </si>
  <si>
    <t>K31=</t>
  </si>
  <si>
    <t>K32=</t>
  </si>
  <si>
    <t>K33=</t>
  </si>
  <si>
    <t>K34=</t>
  </si>
  <si>
    <t>K35=</t>
  </si>
  <si>
    <t>K36=</t>
  </si>
  <si>
    <t>K37=</t>
  </si>
  <si>
    <t>K38=</t>
  </si>
  <si>
    <t>K39=</t>
  </si>
  <si>
    <t>K40=</t>
  </si>
  <si>
    <t>K41=</t>
  </si>
  <si>
    <t>K42=</t>
  </si>
  <si>
    <t>K43=</t>
  </si>
  <si>
    <t>K44=</t>
  </si>
  <si>
    <t>K45=</t>
  </si>
  <si>
    <t>K46=</t>
  </si>
  <si>
    <t>K47=</t>
  </si>
  <si>
    <t>K48=</t>
  </si>
  <si>
    <t>K49=</t>
  </si>
  <si>
    <t>K50=</t>
  </si>
  <si>
    <t>K51=</t>
  </si>
  <si>
    <t>K52=</t>
  </si>
  <si>
    <t>K53=</t>
  </si>
  <si>
    <t>K54=</t>
  </si>
  <si>
    <t>K55=</t>
  </si>
  <si>
    <t>Високий</t>
  </si>
  <si>
    <t>Середній</t>
  </si>
  <si>
    <t>Низький</t>
  </si>
  <si>
    <t>Критичний</t>
  </si>
  <si>
    <t>Оптимальний</t>
  </si>
  <si>
    <t>Шкала оцінювання рівня діяльності ЗПО за результатами SWOT-аналізу</t>
  </si>
  <si>
    <t>2. Наявність дієвого плану роботи. Охоплення плануванням усіх напрямів роботи закладу</t>
  </si>
  <si>
    <t>9 . Робота з партнерами</t>
  </si>
  <si>
    <t>14. Організація дистанційної та змішаної форм освіти засобами</t>
  </si>
  <si>
    <t>19. Використання інформаційних цифрових технологій в освітньому процесі</t>
  </si>
  <si>
    <t>20. Організація дослідницько-експериментальної діяльності вихованців за напрямом позашкільної освіти</t>
  </si>
  <si>
    <t>28. Оптимальність розподілу та розміщення педагогічних кадрів,  розподілу педагогічного навантаження</t>
  </si>
  <si>
    <t>34. Оптимальність способів розв’язання конфліктів у колективі</t>
  </si>
  <si>
    <t>37. Наявність навчальних кабінетів, майстерень, лабораторій, бібліотеки,  актового залу, інших приміщень, необхідних для здійснення освітнього процесу</t>
  </si>
  <si>
    <t>38. Відповідність навчальних кабінетів, майстерень, лабораторій, бібліотеки,  актового залу, інших приміщень нормативним вимогам</t>
  </si>
  <si>
    <t>42. Залучення додаткових джерел фінансування закладу, не заборонених законодавством</t>
  </si>
  <si>
    <t>Санітарне утримання приміщень, території закладу</t>
  </si>
  <si>
    <t>54. Формування, розвиток іміджу закладу</t>
  </si>
  <si>
    <t>бала  –  1 бал</t>
  </si>
  <si>
    <t>бала –  0,87 бала</t>
  </si>
  <si>
    <t>бала  –  0,75 бала</t>
  </si>
  <si>
    <t>бала  –  0,5 бала</t>
  </si>
  <si>
    <t>балів  –  0,25 бала</t>
  </si>
  <si>
    <t>3 бали  – критерій здебільшого реалізовано;</t>
  </si>
  <si>
    <t>2 бали  – критерій реалізовано наполовину;</t>
  </si>
  <si>
    <t>0 балів  – критерій не реалізовано.</t>
  </si>
  <si>
    <t>1 бал  – рівень реалізації критерію мало відповідає сучасним вимогам;</t>
  </si>
  <si>
    <t>4 бали  – рівень реалізації критерію відповідає сучасним вимогам;</t>
  </si>
  <si>
    <t>Наявність дієвого плану роботи. Охоплення плануванням усіх напрямів роботи закладу</t>
  </si>
  <si>
    <t>Робота з партнерами</t>
  </si>
  <si>
    <t>Організація дистанційної та змішаної форм освіти засобами</t>
  </si>
  <si>
    <t>Використання інформаційних цифрових технологій в освітньому процесі</t>
  </si>
  <si>
    <t>Організація дослідницько-експериментальної діяльності вихованців за напрямом позашкільної освіти</t>
  </si>
  <si>
    <t>Оптимальність розподілу та розміщення педагогічних кадрів,  розподілу педагогічного навантаження</t>
  </si>
  <si>
    <t>Стабільності складу педагогічного колективу</t>
  </si>
  <si>
    <t>Оптимальність способів розв’язання конфліктів у колективі</t>
  </si>
  <si>
    <t>Наявність навчальних кабінетів, майстерень, лабораторій, бібліотеки,  актового залу, інших приміщень, необхідних для здійснення освітнього процесу</t>
  </si>
  <si>
    <t>Відповідність навчальних кабінетів, майстерень, лабораторій, бібліотеки,  актового залу, інших приміщень нормативним вимогам</t>
  </si>
  <si>
    <t>Залучення додаткових джерел фінансування закладу, не заборонених законодавством</t>
  </si>
  <si>
    <t>4 бали – рівень реалізації критерію відповідає сучасним вимогам;</t>
  </si>
  <si>
    <t>1 бал – критерій реалізовано наполовину;</t>
  </si>
  <si>
    <t>3 бали – критерій здебільшого реалізовано;</t>
  </si>
  <si>
    <t>2 бали – критерій реалізовано наполовину;</t>
  </si>
  <si>
    <t>0 балів – критерій не реалізовано.</t>
  </si>
  <si>
    <t>Дата: «.     .».     .     .     .     .     .     .  20  .   . р.</t>
  </si>
  <si>
    <t>Кроки</t>
  </si>
  <si>
    <t>Базова схема</t>
  </si>
  <si>
    <t>ІНСТРУКЦІЯ</t>
  </si>
  <si>
    <t xml:space="preserve">з використання аналітичного модуля </t>
  </si>
  <si>
    <t>«SWOT-аналіз діяльності закладу позашкільної освіти»</t>
  </si>
  <si>
    <t xml:space="preserve"> Уважно прочитати Інструкцію.</t>
  </si>
  <si>
    <t xml:space="preserve"> Відкрити вкладку «Базова». Ознайомитися з Базовою схемою факторно-критеріальної субмоделі SWOT-аналізу діяльності закладу позашкільної освіти.</t>
  </si>
  <si>
    <t xml:space="preserve"> Відкрити вкладку «Бланк». У комірці А3 вказати назву закладу позашкільної освіти. Роздрукувати необхідну кількість бланків та роздати їх експертам для здійснення експертизи.</t>
  </si>
  <si>
    <t xml:space="preserve"> Відкрити вкладку «Програма». У колонки «Експертна оцінка» ввести дані з бланків протоколів. Роздрукувати результат аналізу (за потреби).</t>
  </si>
  <si>
    <t xml:space="preserve"> Відкрити аркуш «Таблиця». Ознайомитися з результатами SWOT-аналізу. Роздрукувати результатами SWOT-аналізу діяльності закладу позашкільної освіти.</t>
  </si>
  <si>
    <t xml:space="preserve"> Відкрити аркуш «Портрет». Ознайомитися зграфічним портретом конкурентних переваг закладу позашкільної освіти. Роздрукувати графічний портрет конкурентних переваг закладу позашкільної освіти.</t>
  </si>
  <si>
    <t xml:space="preserve"> Проаналізувати отримані результати. Прийняти необхідні управлінські рішення.</t>
  </si>
  <si>
    <t>назва ЗПО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</si>
</sst>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9900"/>
      <name val="Times New Roman"/>
      <family val="1"/>
      <charset val="204"/>
    </font>
    <font>
      <b/>
      <sz val="13"/>
      <color rgb="FF009900"/>
      <name val="Times New Roman"/>
      <family val="1"/>
      <charset val="204"/>
    </font>
    <font>
      <sz val="13"/>
      <color rgb="FF009900"/>
      <name val="Times New Roman"/>
      <family val="1"/>
      <charset val="204"/>
    </font>
    <font>
      <b/>
      <sz val="13"/>
      <color rgb="FF002060"/>
      <name val="Times New Roman"/>
      <family val="1"/>
      <charset val="204"/>
    </font>
    <font>
      <b/>
      <sz val="13"/>
      <color rgb="FFCC6600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14"/>
      <color indexed="8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rgb="FFCC66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i/>
      <sz val="13"/>
      <color theme="1"/>
      <name val="Times New Roman"/>
      <family val="1"/>
      <charset val="204"/>
    </font>
    <font>
      <b/>
      <sz val="13"/>
      <color rgb="FFCC0000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3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i/>
      <sz val="13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7F6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Dot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 style="dashDot">
        <color auto="1"/>
      </bottom>
      <diagonal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/>
    </border>
    <border>
      <left/>
      <right style="thin">
        <color auto="1"/>
      </right>
      <top style="dashDot">
        <color auto="1"/>
      </top>
      <bottom style="dashDot">
        <color auto="1"/>
      </bottom>
      <diagonal/>
    </border>
    <border>
      <left/>
      <right style="thin">
        <color auto="1"/>
      </right>
      <top style="dashDot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ashDot">
        <color auto="1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vertical="top" wrapText="1"/>
      <protection hidden="1"/>
    </xf>
    <xf numFmtId="0" fontId="3" fillId="0" borderId="0" xfId="0" applyFont="1" applyAlignment="1" applyProtection="1">
      <alignment horizontal="center" vertical="top"/>
      <protection hidden="1"/>
    </xf>
    <xf numFmtId="0" fontId="1" fillId="0" borderId="0" xfId="0" applyFont="1" applyAlignment="1">
      <alignment horizontal="center" vertical="top"/>
    </xf>
    <xf numFmtId="2" fontId="5" fillId="0" borderId="0" xfId="0" applyNumberFormat="1" applyFont="1" applyAlignment="1" applyProtection="1">
      <alignment horizontal="center"/>
      <protection hidden="1"/>
    </xf>
    <xf numFmtId="2" fontId="5" fillId="0" borderId="0" xfId="0" applyNumberFormat="1" applyFont="1" applyAlignment="1" applyProtection="1">
      <alignment horizontal="center" wrapText="1"/>
      <protection hidden="1"/>
    </xf>
    <xf numFmtId="0" fontId="8" fillId="0" borderId="0" xfId="0" applyFont="1"/>
    <xf numFmtId="0" fontId="3" fillId="0" borderId="0" xfId="0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3" fillId="0" borderId="0" xfId="0" applyFont="1" applyAlignment="1" applyProtection="1">
      <protection hidden="1"/>
    </xf>
    <xf numFmtId="0" fontId="3" fillId="0" borderId="0" xfId="0" applyFont="1" applyAlignment="1" applyProtection="1">
      <alignment horizontal="left" wrapText="1"/>
      <protection hidden="1"/>
    </xf>
    <xf numFmtId="0" fontId="3" fillId="0" borderId="0" xfId="0" applyFont="1" applyAlignment="1" applyProtection="1">
      <alignment horizontal="left" vertical="top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7" fillId="0" borderId="0" xfId="0" applyFont="1"/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2" fillId="0" borderId="1" xfId="0" applyFont="1" applyBorder="1" applyAlignment="1" applyProtection="1">
      <alignment horizontal="center" vertical="top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top"/>
      <protection hidden="1"/>
    </xf>
    <xf numFmtId="0" fontId="1" fillId="0" borderId="0" xfId="0" applyFont="1" applyBorder="1" applyAlignment="1" applyProtection="1">
      <alignment horizontal="center"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15" fillId="0" borderId="1" xfId="0" applyFont="1" applyBorder="1" applyAlignment="1" applyProtection="1">
      <alignment horizontal="center" vertical="top" wrapText="1"/>
      <protection hidden="1"/>
    </xf>
    <xf numFmtId="0" fontId="8" fillId="0" borderId="0" xfId="0" applyFont="1" applyAlignment="1">
      <alignment horizontal="center"/>
    </xf>
    <xf numFmtId="0" fontId="15" fillId="0" borderId="2" xfId="0" applyFont="1" applyBorder="1" applyAlignment="1" applyProtection="1">
      <alignment horizontal="center" vertical="top" wrapText="1"/>
      <protection hidden="1"/>
    </xf>
    <xf numFmtId="0" fontId="15" fillId="0" borderId="0" xfId="0" applyFont="1" applyAlignment="1">
      <alignment horizontal="center"/>
    </xf>
    <xf numFmtId="0" fontId="8" fillId="0" borderId="1" xfId="0" applyFont="1" applyBorder="1" applyAlignment="1" applyProtection="1">
      <alignment horizontal="center" vertical="top"/>
      <protection hidden="1"/>
    </xf>
    <xf numFmtId="0" fontId="8" fillId="0" borderId="2" xfId="0" applyFont="1" applyBorder="1" applyProtection="1">
      <protection hidden="1"/>
    </xf>
    <xf numFmtId="0" fontId="15" fillId="0" borderId="1" xfId="0" applyFont="1" applyBorder="1" applyAlignment="1" applyProtection="1">
      <alignment horizontal="center" vertical="top"/>
      <protection hidden="1"/>
    </xf>
    <xf numFmtId="0" fontId="15" fillId="0" borderId="1" xfId="0" applyFont="1" applyBorder="1" applyAlignment="1" applyProtection="1">
      <alignment horizontal="center"/>
      <protection hidden="1"/>
    </xf>
    <xf numFmtId="0" fontId="8" fillId="0" borderId="0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8" fillId="0" borderId="0" xfId="0" applyFont="1" applyBorder="1" applyAlignment="1" applyProtection="1">
      <alignment horizontal="center" vertical="center"/>
      <protection hidden="1"/>
    </xf>
    <xf numFmtId="0" fontId="8" fillId="0" borderId="0" xfId="0" applyFont="1" applyBorder="1" applyAlignment="1" applyProtection="1">
      <alignment vertical="top" wrapText="1"/>
      <protection hidden="1"/>
    </xf>
    <xf numFmtId="0" fontId="16" fillId="0" borderId="0" xfId="0" applyFont="1" applyAlignment="1" applyProtection="1">
      <alignment horizontal="left" wrapText="1"/>
      <protection hidden="1"/>
    </xf>
    <xf numFmtId="0" fontId="16" fillId="0" borderId="0" xfId="0" applyFont="1" applyAlignment="1" applyProtection="1">
      <protection hidden="1"/>
    </xf>
    <xf numFmtId="0" fontId="8" fillId="0" borderId="3" xfId="0" applyFont="1" applyBorder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8" fillId="0" borderId="9" xfId="0" applyFont="1" applyBorder="1" applyAlignment="1">
      <alignment horizontal="center"/>
    </xf>
    <xf numFmtId="0" fontId="1" fillId="0" borderId="14" xfId="0" applyFont="1" applyBorder="1" applyAlignment="1" applyProtection="1">
      <alignment horizontal="center" vertical="top" wrapText="1"/>
      <protection hidden="1"/>
    </xf>
    <xf numFmtId="0" fontId="1" fillId="0" borderId="14" xfId="0" applyFont="1" applyBorder="1" applyAlignment="1" applyProtection="1">
      <alignment horizontal="center" vertical="top"/>
      <protection hidden="1"/>
    </xf>
    <xf numFmtId="0" fontId="1" fillId="0" borderId="15" xfId="0" applyFont="1" applyBorder="1" applyAlignment="1" applyProtection="1">
      <alignment horizontal="center" vertical="top"/>
      <protection hidden="1"/>
    </xf>
    <xf numFmtId="0" fontId="1" fillId="0" borderId="16" xfId="0" applyFont="1" applyBorder="1" applyAlignment="1" applyProtection="1">
      <alignment horizontal="center" vertical="top" wrapText="1"/>
      <protection hidden="1"/>
    </xf>
    <xf numFmtId="0" fontId="1" fillId="0" borderId="16" xfId="0" applyFont="1" applyBorder="1" applyAlignment="1" applyProtection="1">
      <alignment horizontal="center" vertical="top"/>
      <protection hidden="1"/>
    </xf>
    <xf numFmtId="0" fontId="1" fillId="0" borderId="14" xfId="0" applyFont="1" applyBorder="1" applyAlignment="1" applyProtection="1">
      <alignment vertical="top" wrapText="1"/>
      <protection hidden="1"/>
    </xf>
    <xf numFmtId="0" fontId="1" fillId="0" borderId="14" xfId="0" applyFont="1" applyBorder="1" applyAlignment="1" applyProtection="1">
      <alignment horizontal="left" vertical="top"/>
      <protection hidden="1"/>
    </xf>
    <xf numFmtId="0" fontId="16" fillId="0" borderId="0" xfId="0" applyFont="1" applyBorder="1" applyAlignment="1" applyProtection="1">
      <alignment horizontal="center" vertical="top"/>
      <protection hidden="1"/>
    </xf>
    <xf numFmtId="0" fontId="16" fillId="0" borderId="0" xfId="0" applyFont="1" applyAlignment="1" applyProtection="1">
      <alignment horizontal="center" vertical="top"/>
      <protection hidden="1"/>
    </xf>
    <xf numFmtId="0" fontId="16" fillId="0" borderId="0" xfId="0" applyFont="1" applyBorder="1" applyAlignment="1" applyProtection="1">
      <alignment horizontal="center" vertical="center"/>
      <protection hidden="1"/>
    </xf>
    <xf numFmtId="0" fontId="16" fillId="0" borderId="0" xfId="0" applyFont="1" applyBorder="1" applyAlignment="1" applyProtection="1">
      <alignment vertical="top" wrapText="1"/>
      <protection hidden="1"/>
    </xf>
    <xf numFmtId="0" fontId="16" fillId="0" borderId="0" xfId="0" applyFont="1" applyAlignment="1" applyProtection="1">
      <alignment horizontal="center" vertical="top" wrapText="1"/>
      <protection hidden="1"/>
    </xf>
    <xf numFmtId="0" fontId="7" fillId="0" borderId="0" xfId="0" applyFont="1" applyProtection="1">
      <protection hidden="1"/>
    </xf>
    <xf numFmtId="0" fontId="10" fillId="0" borderId="1" xfId="0" applyFont="1" applyBorder="1" applyAlignment="1" applyProtection="1">
      <alignment horizontal="center"/>
      <protection hidden="1"/>
    </xf>
    <xf numFmtId="0" fontId="11" fillId="4" borderId="13" xfId="0" applyFont="1" applyFill="1" applyBorder="1" applyProtection="1">
      <protection hidden="1"/>
    </xf>
    <xf numFmtId="0" fontId="12" fillId="0" borderId="1" xfId="0" applyFont="1" applyBorder="1" applyAlignment="1" applyProtection="1">
      <alignment horizontal="center"/>
      <protection hidden="1"/>
    </xf>
    <xf numFmtId="0" fontId="9" fillId="4" borderId="0" xfId="0" applyFont="1" applyFill="1" applyBorder="1" applyAlignment="1" applyProtection="1">
      <alignment horizontal="left" vertical="top" wrapText="1"/>
      <protection hidden="1"/>
    </xf>
    <xf numFmtId="0" fontId="7" fillId="4" borderId="12" xfId="0" applyFont="1" applyFill="1" applyBorder="1" applyProtection="1">
      <protection hidden="1"/>
    </xf>
    <xf numFmtId="0" fontId="7" fillId="4" borderId="0" xfId="0" applyFont="1" applyFill="1" applyBorder="1" applyProtection="1">
      <protection hidden="1"/>
    </xf>
    <xf numFmtId="0" fontId="7" fillId="4" borderId="1" xfId="0" applyFont="1" applyFill="1" applyBorder="1" applyProtection="1">
      <protection hidden="1"/>
    </xf>
    <xf numFmtId="0" fontId="13" fillId="0" borderId="1" xfId="0" applyFont="1" applyBorder="1" applyAlignment="1" applyProtection="1">
      <alignment horizontal="center"/>
      <protection hidden="1"/>
    </xf>
    <xf numFmtId="0" fontId="14" fillId="0" borderId="1" xfId="0" applyFont="1" applyBorder="1" applyAlignment="1" applyProtection="1">
      <alignment horizontal="center"/>
      <protection hidden="1"/>
    </xf>
    <xf numFmtId="0" fontId="9" fillId="4" borderId="13" xfId="0" applyFont="1" applyFill="1" applyBorder="1" applyAlignment="1" applyProtection="1">
      <alignment horizontal="left" vertical="top" wrapText="1"/>
      <protection hidden="1"/>
    </xf>
    <xf numFmtId="0" fontId="1" fillId="0" borderId="1" xfId="0" applyFont="1" applyBorder="1" applyAlignment="1" applyProtection="1">
      <alignment horizontal="left" vertical="top"/>
      <protection hidden="1"/>
    </xf>
    <xf numFmtId="0" fontId="1" fillId="2" borderId="1" xfId="0" applyFont="1" applyFill="1" applyBorder="1" applyAlignment="1" applyProtection="1">
      <alignment horizontal="left" vertical="top"/>
      <protection hidden="1"/>
    </xf>
    <xf numFmtId="0" fontId="20" fillId="0" borderId="1" xfId="0" applyFont="1" applyBorder="1" applyAlignment="1" applyProtection="1">
      <alignment horizontal="left" vertical="top" wrapText="1"/>
      <protection hidden="1"/>
    </xf>
    <xf numFmtId="0" fontId="21" fillId="0" borderId="1" xfId="0" applyFont="1" applyBorder="1" applyAlignment="1" applyProtection="1">
      <alignment horizontal="left" vertical="top" wrapText="1"/>
      <protection hidden="1"/>
    </xf>
    <xf numFmtId="0" fontId="15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 vertical="top"/>
      <protection hidden="1"/>
    </xf>
    <xf numFmtId="0" fontId="2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left" vertical="top"/>
      <protection hidden="1"/>
    </xf>
    <xf numFmtId="0" fontId="25" fillId="0" borderId="0" xfId="0" applyFont="1" applyAlignment="1">
      <alignment vertical="top" wrapText="1"/>
    </xf>
    <xf numFmtId="0" fontId="27" fillId="0" borderId="0" xfId="0" applyFont="1" applyBorder="1" applyAlignment="1" applyProtection="1">
      <alignment horizontal="center" vertical="top" wrapText="1"/>
      <protection hidden="1"/>
    </xf>
    <xf numFmtId="10" fontId="25" fillId="0" borderId="0" xfId="0" applyNumberFormat="1" applyFont="1" applyBorder="1"/>
    <xf numFmtId="2" fontId="25" fillId="0" borderId="0" xfId="0" applyNumberFormat="1" applyFont="1" applyFill="1" applyBorder="1"/>
    <xf numFmtId="0" fontId="27" fillId="0" borderId="0" xfId="0" applyFont="1" applyBorder="1" applyAlignment="1" applyProtection="1">
      <alignment horizontal="center"/>
      <protection hidden="1"/>
    </xf>
    <xf numFmtId="0" fontId="26" fillId="0" borderId="0" xfId="0" applyFont="1" applyBorder="1" applyAlignment="1" applyProtection="1">
      <alignment horizontal="center" vertical="top" wrapText="1"/>
      <protection hidden="1"/>
    </xf>
    <xf numFmtId="10" fontId="22" fillId="0" borderId="0" xfId="0" applyNumberFormat="1" applyFont="1" applyBorder="1"/>
    <xf numFmtId="2" fontId="22" fillId="0" borderId="0" xfId="0" applyNumberFormat="1" applyFont="1" applyFill="1" applyBorder="1"/>
    <xf numFmtId="0" fontId="26" fillId="0" borderId="0" xfId="0" applyFont="1" applyBorder="1" applyAlignment="1" applyProtection="1">
      <alignment horizontal="center" vertical="top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1" fillId="0" borderId="0" xfId="0" applyFont="1" applyFill="1" applyAlignment="1" applyProtection="1">
      <alignment horizontal="center"/>
      <protection hidden="1"/>
    </xf>
    <xf numFmtId="2" fontId="24" fillId="0" borderId="0" xfId="0" applyNumberFormat="1" applyFont="1" applyBorder="1" applyAlignment="1" applyProtection="1">
      <alignment horizontal="left" vertical="top"/>
      <protection hidden="1"/>
    </xf>
    <xf numFmtId="0" fontId="15" fillId="0" borderId="0" xfId="0" applyFont="1" applyBorder="1" applyAlignment="1" applyProtection="1">
      <alignment horizontal="center" vertical="top" wrapText="1"/>
      <protection hidden="1"/>
    </xf>
    <xf numFmtId="0" fontId="8" fillId="0" borderId="0" xfId="0" applyFont="1" applyBorder="1" applyAlignment="1" applyProtection="1">
      <alignment horizontal="center" vertical="top"/>
      <protection hidden="1"/>
    </xf>
    <xf numFmtId="2" fontId="8" fillId="0" borderId="1" xfId="0" applyNumberFormat="1" applyFont="1" applyBorder="1" applyAlignment="1" applyProtection="1">
      <alignment horizontal="center" vertical="top"/>
      <protection hidden="1"/>
    </xf>
    <xf numFmtId="2" fontId="8" fillId="0" borderId="0" xfId="0" applyNumberFormat="1" applyFont="1" applyBorder="1" applyAlignment="1" applyProtection="1">
      <alignment horizontal="center" vertical="top"/>
      <protection hidden="1"/>
    </xf>
    <xf numFmtId="2" fontId="15" fillId="0" borderId="1" xfId="0" applyNumberFormat="1" applyFont="1" applyBorder="1" applyAlignment="1" applyProtection="1">
      <alignment horizontal="center" vertical="top"/>
      <protection hidden="1"/>
    </xf>
    <xf numFmtId="2" fontId="15" fillId="0" borderId="0" xfId="0" applyNumberFormat="1" applyFont="1" applyBorder="1" applyAlignment="1" applyProtection="1">
      <alignment horizontal="center" vertical="top"/>
      <protection hidden="1"/>
    </xf>
    <xf numFmtId="2" fontId="6" fillId="3" borderId="0" xfId="0" applyNumberFormat="1" applyFont="1" applyFill="1" applyAlignment="1" applyProtection="1">
      <alignment horizontal="center"/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2" fillId="0" borderId="0" xfId="0" applyFont="1" applyAlignment="1" applyProtection="1">
      <alignment horizontal="center" vertical="top"/>
      <protection hidden="1"/>
    </xf>
    <xf numFmtId="0" fontId="2" fillId="0" borderId="0" xfId="0" applyFont="1" applyFill="1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center" vertical="top" wrapText="1"/>
      <protection hidden="1"/>
    </xf>
    <xf numFmtId="2" fontId="8" fillId="0" borderId="2" xfId="0" applyNumberFormat="1" applyFont="1" applyBorder="1" applyAlignment="1" applyProtection="1">
      <alignment horizontal="center" vertical="top"/>
      <protection hidden="1"/>
    </xf>
    <xf numFmtId="1" fontId="8" fillId="0" borderId="0" xfId="0" applyNumberFormat="1" applyFont="1" applyBorder="1" applyAlignment="1" applyProtection="1">
      <alignment horizontal="center" vertical="top"/>
      <protection hidden="1"/>
    </xf>
    <xf numFmtId="2" fontId="14" fillId="7" borderId="0" xfId="0" applyNumberFormat="1" applyFont="1" applyFill="1" applyBorder="1" applyAlignment="1" applyProtection="1">
      <alignment horizontal="center" vertical="top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left" vertical="top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3" borderId="1" xfId="0" applyFont="1" applyFill="1" applyBorder="1" applyAlignment="1" applyProtection="1">
      <alignment horizontal="center"/>
      <protection hidden="1"/>
    </xf>
    <xf numFmtId="0" fontId="1" fillId="6" borderId="12" xfId="0" applyFont="1" applyFill="1" applyBorder="1" applyAlignment="1" applyProtection="1">
      <alignment horizontal="center"/>
      <protection hidden="1"/>
    </xf>
    <xf numFmtId="0" fontId="1" fillId="0" borderId="12" xfId="0" applyFont="1" applyFill="1" applyBorder="1" applyAlignment="1" applyProtection="1">
      <alignment horizontal="center"/>
      <protection hidden="1"/>
    </xf>
    <xf numFmtId="0" fontId="1" fillId="3" borderId="12" xfId="0" applyFont="1" applyFill="1" applyBorder="1" applyAlignment="1" applyProtection="1">
      <alignment horizontal="left" vertical="top" wrapText="1"/>
      <protection hidden="1"/>
    </xf>
    <xf numFmtId="0" fontId="1" fillId="7" borderId="12" xfId="0" applyFont="1" applyFill="1" applyBorder="1" applyAlignment="1" applyProtection="1">
      <alignment horizontal="left" vertical="top" wrapText="1"/>
      <protection hidden="1"/>
    </xf>
    <xf numFmtId="0" fontId="1" fillId="2" borderId="0" xfId="0" applyFont="1" applyFill="1" applyProtection="1">
      <protection hidden="1"/>
    </xf>
    <xf numFmtId="0" fontId="1" fillId="8" borderId="0" xfId="0" applyFont="1" applyFill="1" applyAlignment="1" applyProtection="1">
      <alignment horizontal="left" vertical="top" wrapText="1"/>
      <protection hidden="1"/>
    </xf>
    <xf numFmtId="0" fontId="1" fillId="6" borderId="0" xfId="0" applyFont="1" applyFill="1" applyAlignment="1" applyProtection="1">
      <alignment horizontal="left" vertical="top" wrapText="1"/>
      <protection hidden="1"/>
    </xf>
    <xf numFmtId="0" fontId="1" fillId="0" borderId="12" xfId="0" applyFont="1" applyBorder="1" applyAlignment="1" applyProtection="1">
      <alignment horizontal="center"/>
      <protection hidden="1"/>
    </xf>
    <xf numFmtId="0" fontId="1" fillId="0" borderId="12" xfId="0" applyFont="1" applyFill="1" applyBorder="1" applyAlignment="1" applyProtection="1">
      <alignment horizontal="center" wrapText="1"/>
      <protection hidden="1"/>
    </xf>
    <xf numFmtId="0" fontId="1" fillId="5" borderId="1" xfId="0" applyFont="1" applyFill="1" applyBorder="1" applyAlignment="1" applyProtection="1">
      <alignment horizontal="center"/>
      <protection hidden="1"/>
    </xf>
    <xf numFmtId="0" fontId="1" fillId="5" borderId="12" xfId="0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Alignment="1" applyProtection="1">
      <alignment horizontal="left" vertical="top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6" xfId="0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17" xfId="0" applyFont="1" applyBorder="1" applyAlignment="1" applyProtection="1">
      <alignment horizontal="center" vertical="top" wrapText="1"/>
      <protection hidden="1"/>
    </xf>
    <xf numFmtId="0" fontId="1" fillId="0" borderId="18" xfId="0" applyFont="1" applyBorder="1" applyAlignment="1" applyProtection="1">
      <alignment horizontal="center" vertical="top" wrapText="1"/>
      <protection hidden="1"/>
    </xf>
    <xf numFmtId="0" fontId="1" fillId="0" borderId="19" xfId="0" applyFont="1" applyBorder="1" applyAlignment="1" applyProtection="1">
      <alignment horizontal="center" vertical="top" wrapText="1"/>
      <protection hidden="1"/>
    </xf>
    <xf numFmtId="0" fontId="4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15" fillId="0" borderId="2" xfId="0" applyFont="1" applyBorder="1" applyAlignment="1" applyProtection="1">
      <alignment horizontal="center" vertical="center" wrapText="1"/>
      <protection hidden="1"/>
    </xf>
    <xf numFmtId="0" fontId="8" fillId="0" borderId="2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9" fillId="0" borderId="12" xfId="0" applyFont="1" applyBorder="1" applyAlignment="1" applyProtection="1">
      <alignment horizontal="left" vertical="top" wrapText="1"/>
      <protection hidden="1"/>
    </xf>
    <xf numFmtId="0" fontId="28" fillId="0" borderId="1" xfId="0" applyFont="1" applyBorder="1" applyAlignment="1" applyProtection="1">
      <alignment horizontal="left" vertical="top" wrapText="1"/>
      <protection hidden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0" borderId="14" xfId="0" applyFont="1" applyBorder="1" applyAlignment="1" applyProtection="1">
      <alignment horizontal="center" vertical="top" wrapText="1"/>
      <protection hidden="1"/>
    </xf>
    <xf numFmtId="0" fontId="1" fillId="0" borderId="15" xfId="0" applyFont="1" applyBorder="1" applyAlignment="1" applyProtection="1">
      <alignment horizontal="center" vertical="top" wrapText="1"/>
      <protection hidden="1"/>
    </xf>
    <xf numFmtId="0" fontId="1" fillId="0" borderId="16" xfId="0" applyFont="1" applyBorder="1" applyAlignment="1" applyProtection="1">
      <alignment horizontal="center" vertical="top" wrapText="1"/>
      <protection hidden="1"/>
    </xf>
    <xf numFmtId="0" fontId="1" fillId="0" borderId="15" xfId="0" applyFont="1" applyBorder="1" applyAlignment="1" applyProtection="1">
      <alignment horizontal="left" vertical="top" wrapText="1"/>
      <protection hidden="1"/>
    </xf>
    <xf numFmtId="0" fontId="1" fillId="0" borderId="15" xfId="0" applyFont="1" applyBorder="1" applyAlignment="1" applyProtection="1">
      <alignment horizontal="left" vertical="top"/>
      <protection hidden="1"/>
    </xf>
    <xf numFmtId="0" fontId="1" fillId="0" borderId="16" xfId="0" applyFont="1" applyBorder="1" applyAlignment="1" applyProtection="1">
      <alignment horizontal="left" vertical="top"/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14" xfId="0" applyFont="1" applyBorder="1" applyAlignment="1" applyProtection="1">
      <alignment horizontal="left" vertical="top" wrapText="1"/>
      <protection hidden="1"/>
    </xf>
    <xf numFmtId="0" fontId="1" fillId="0" borderId="16" xfId="0" applyFont="1" applyBorder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1" fillId="0" borderId="0" xfId="0" applyFont="1" applyAlignment="1" applyProtection="1">
      <protection hidden="1"/>
    </xf>
    <xf numFmtId="0" fontId="1" fillId="0" borderId="12" xfId="0" applyFont="1" applyBorder="1" applyAlignment="1" applyProtection="1">
      <alignment horizontal="center" vertical="top" wrapText="1"/>
      <protection hidden="1"/>
    </xf>
    <xf numFmtId="0" fontId="1" fillId="0" borderId="4" xfId="0" applyFont="1" applyBorder="1" applyAlignment="1" applyProtection="1">
      <alignment horizontal="center" vertical="top" wrapText="1"/>
      <protection hidden="1"/>
    </xf>
    <xf numFmtId="0" fontId="15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protection hidden="1"/>
    </xf>
    <xf numFmtId="0" fontId="8" fillId="0" borderId="0" xfId="0" applyFont="1" applyAlignment="1" applyProtection="1">
      <alignment horizontal="left" wrapText="1"/>
      <protection hidden="1"/>
    </xf>
    <xf numFmtId="0" fontId="16" fillId="0" borderId="0" xfId="0" applyFont="1" applyAlignment="1" applyProtection="1">
      <protection hidden="1"/>
    </xf>
    <xf numFmtId="0" fontId="16" fillId="0" borderId="0" xfId="0" applyFont="1" applyAlignment="1" applyProtection="1">
      <alignment horizontal="left" wrapText="1"/>
      <protection hidden="1"/>
    </xf>
    <xf numFmtId="0" fontId="19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 vertical="top"/>
      <protection hidden="1"/>
    </xf>
    <xf numFmtId="0" fontId="29" fillId="0" borderId="6" xfId="0" applyFont="1" applyBorder="1" applyAlignment="1" applyProtection="1">
      <alignment horizontal="center" vertical="top" wrapText="1"/>
      <protection hidden="1"/>
    </xf>
    <xf numFmtId="0" fontId="29" fillId="0" borderId="13" xfId="0" applyFont="1" applyBorder="1" applyAlignment="1" applyProtection="1">
      <alignment horizontal="center" vertical="top" wrapText="1"/>
      <protection hidden="1"/>
    </xf>
    <xf numFmtId="0" fontId="29" fillId="0" borderId="2" xfId="0" applyFont="1" applyBorder="1" applyAlignment="1" applyProtection="1">
      <alignment horizontal="center" vertical="top" wrapText="1"/>
      <protection hidden="1"/>
    </xf>
    <xf numFmtId="0" fontId="15" fillId="0" borderId="6" xfId="0" applyFont="1" applyBorder="1" applyAlignment="1" applyProtection="1">
      <alignment horizontal="center" vertical="top" wrapText="1"/>
      <protection hidden="1"/>
    </xf>
    <xf numFmtId="0" fontId="15" fillId="0" borderId="13" xfId="0" applyFont="1" applyBorder="1" applyAlignment="1" applyProtection="1">
      <alignment horizontal="center" vertical="top" wrapText="1"/>
      <protection hidden="1"/>
    </xf>
    <xf numFmtId="0" fontId="15" fillId="0" borderId="2" xfId="0" applyFont="1" applyBorder="1" applyAlignment="1" applyProtection="1">
      <alignment horizontal="center" vertical="top" wrapText="1"/>
      <protection hidden="1"/>
    </xf>
    <xf numFmtId="0" fontId="15" fillId="0" borderId="8" xfId="0" applyFont="1" applyBorder="1" applyAlignment="1" applyProtection="1">
      <alignment horizontal="center" vertical="center" wrapText="1"/>
      <protection hidden="1"/>
    </xf>
    <xf numFmtId="0" fontId="15" fillId="0" borderId="4" xfId="0" applyFont="1" applyBorder="1" applyAlignment="1" applyProtection="1">
      <alignment horizontal="center" vertical="center" wrapText="1"/>
      <protection hidden="1"/>
    </xf>
    <xf numFmtId="0" fontId="24" fillId="0" borderId="0" xfId="0" applyFont="1" applyAlignment="1" applyProtection="1">
      <alignment horizontal="center" vertical="top"/>
      <protection hidden="1"/>
    </xf>
    <xf numFmtId="0" fontId="15" fillId="0" borderId="8" xfId="0" applyFont="1" applyBorder="1" applyAlignment="1" applyProtection="1">
      <alignment horizontal="center" vertical="top" wrapText="1"/>
      <protection hidden="1"/>
    </xf>
    <xf numFmtId="0" fontId="15" fillId="0" borderId="12" xfId="0" applyFont="1" applyBorder="1" applyAlignment="1" applyProtection="1">
      <alignment horizontal="center" vertical="top" wrapText="1"/>
      <protection hidden="1"/>
    </xf>
    <xf numFmtId="0" fontId="15" fillId="0" borderId="4" xfId="0" applyFont="1" applyBorder="1" applyAlignment="1" applyProtection="1">
      <alignment horizontal="center" vertical="top" wrapText="1"/>
      <protection hidden="1"/>
    </xf>
    <xf numFmtId="0" fontId="8" fillId="0" borderId="6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6" xfId="0" applyFont="1" applyBorder="1" applyAlignment="1" applyProtection="1">
      <alignment vertical="top" wrapText="1"/>
      <protection hidden="1"/>
    </xf>
    <xf numFmtId="0" fontId="8" fillId="0" borderId="2" xfId="0" applyFont="1" applyBorder="1" applyAlignment="1" applyProtection="1">
      <alignment vertical="top" wrapText="1"/>
      <protection hidden="1"/>
    </xf>
    <xf numFmtId="0" fontId="23" fillId="0" borderId="0" xfId="0" applyFont="1" applyAlignment="1" applyProtection="1">
      <alignment horizontal="left" vertical="top"/>
      <protection hidden="1"/>
    </xf>
    <xf numFmtId="0" fontId="24" fillId="0" borderId="0" xfId="0" applyFont="1" applyAlignment="1" applyProtection="1">
      <alignment horizontal="left" vertical="top"/>
      <protection hidden="1"/>
    </xf>
    <xf numFmtId="0" fontId="15" fillId="0" borderId="9" xfId="0" applyFont="1" applyBorder="1" applyAlignment="1" applyProtection="1">
      <alignment horizontal="center" vertical="top" wrapText="1"/>
      <protection hidden="1"/>
    </xf>
    <xf numFmtId="0" fontId="15" fillId="0" borderId="7" xfId="0" applyFont="1" applyBorder="1" applyAlignment="1" applyProtection="1">
      <alignment horizontal="center" vertical="top" wrapText="1"/>
      <protection hidden="1"/>
    </xf>
    <xf numFmtId="0" fontId="15" fillId="0" borderId="10" xfId="0" applyFont="1" applyBorder="1" applyAlignment="1" applyProtection="1">
      <alignment horizontal="center" vertical="top" wrapText="1"/>
      <protection hidden="1"/>
    </xf>
    <xf numFmtId="0" fontId="15" fillId="0" borderId="11" xfId="0" applyFont="1" applyBorder="1" applyAlignment="1" applyProtection="1">
      <alignment horizontal="center" vertical="top" wrapText="1"/>
      <protection hidden="1"/>
    </xf>
    <xf numFmtId="0" fontId="15" fillId="0" borderId="5" xfId="0" applyFont="1" applyBorder="1" applyAlignment="1" applyProtection="1">
      <alignment horizontal="center" vertical="top" wrapText="1"/>
      <protection hidden="1"/>
    </xf>
    <xf numFmtId="0" fontId="15" fillId="0" borderId="3" xfId="0" applyFont="1" applyBorder="1" applyAlignment="1" applyProtection="1">
      <alignment horizontal="center" vertical="top" wrapText="1"/>
      <protection hidden="1"/>
    </xf>
    <xf numFmtId="0" fontId="2" fillId="0" borderId="0" xfId="0" applyFont="1" applyAlignment="1" applyProtection="1">
      <alignment horizontal="center" vertical="top" wrapText="1"/>
      <protection hidden="1"/>
    </xf>
    <xf numFmtId="0" fontId="1" fillId="0" borderId="0" xfId="0" applyFont="1" applyAlignment="1" applyProtection="1">
      <alignment horizontal="center" vertical="top" wrapText="1"/>
      <protection hidden="1"/>
    </xf>
    <xf numFmtId="0" fontId="8" fillId="9" borderId="0" xfId="0" applyFont="1" applyFill="1" applyAlignment="1" applyProtection="1">
      <alignment horizontal="center" vertical="top" wrapText="1"/>
      <protection locked="0"/>
    </xf>
    <xf numFmtId="0" fontId="29" fillId="9" borderId="0" xfId="0" applyFont="1" applyFill="1" applyAlignment="1" applyProtection="1">
      <alignment horizontal="center" vertical="top" wrapText="1"/>
      <protection locked="0"/>
    </xf>
    <xf numFmtId="0" fontId="1" fillId="9" borderId="1" xfId="0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7F6FF"/>
      <color rgb="FFCCECFF"/>
      <color rgb="FFCC0000"/>
      <color rgb="FFFFFFCC"/>
      <color rgb="FFFFFF99"/>
      <color rgb="FFCC6600"/>
      <color rgb="FFFF9900"/>
      <color rgb="FFCCFFCC"/>
      <color rgb="FF009900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>
        <c:manualLayout>
          <c:layoutTarget val="inner"/>
          <c:xMode val="edge"/>
          <c:yMode val="edge"/>
          <c:x val="0.22367105274631369"/>
          <c:y val="0.1959341794931567"/>
          <c:w val="0.5708085907866165"/>
          <c:h val="0.52378384400266631"/>
        </c:manualLayout>
      </c:layout>
      <c:radarChart>
        <c:radarStyle val="filled"/>
        <c:ser>
          <c:idx val="0"/>
          <c:order val="0"/>
          <c:spPr>
            <a:ln w="19050">
              <a:solidFill>
                <a:srgbClr val="002060">
                  <a:alpha val="98000"/>
                </a:srgbClr>
              </a:solidFill>
            </a:ln>
          </c:spPr>
          <c:dLbls>
            <c:dLbl>
              <c:idx val="0"/>
              <c:layout>
                <c:manualLayout>
                  <c:x val="-6.6446926692302986E-3"/>
                  <c:y val="2.8176098396386975E-2"/>
                </c:manualLayout>
              </c:layout>
              <c:showVal val="1"/>
            </c:dLbl>
            <c:dLbl>
              <c:idx val="1"/>
              <c:layout>
                <c:manualLayout>
                  <c:x val="9.0808416389811741E-2"/>
                  <c:y val="5.4339618335889295E-2"/>
                </c:manualLayout>
              </c:layout>
              <c:showVal val="1"/>
            </c:dLbl>
            <c:dLbl>
              <c:idx val="2"/>
              <c:layout>
                <c:manualLayout>
                  <c:x val="6.4230168903305698E-2"/>
                  <c:y val="6.0524729019188532E-2"/>
                </c:manualLayout>
              </c:layout>
              <c:showVal val="1"/>
            </c:dLbl>
            <c:dLbl>
              <c:idx val="3"/>
              <c:layout>
                <c:manualLayout>
                  <c:x val="0.10852678298933574"/>
                  <c:y val="9.4812205040235714E-2"/>
                </c:manualLayout>
              </c:layout>
              <c:showVal val="1"/>
            </c:dLbl>
            <c:dLbl>
              <c:idx val="4"/>
              <c:layout>
                <c:manualLayout>
                  <c:x val="-0.14396456256921383"/>
                  <c:y val="0.18638706099809238"/>
                </c:manualLayout>
              </c:layout>
              <c:showVal val="1"/>
            </c:dLbl>
            <c:dLbl>
              <c:idx val="5"/>
              <c:layout>
                <c:manualLayout>
                  <c:x val="-7.5304714817624616E-2"/>
                  <c:y val="6.8427509063338082E-2"/>
                </c:manualLayout>
              </c:layout>
              <c:showVal val="1"/>
            </c:dLbl>
            <c:dLbl>
              <c:idx val="6"/>
              <c:layout>
                <c:manualLayout>
                  <c:x val="-0.10409745293466226"/>
                  <c:y val="6.1262765047730129E-2"/>
                </c:manualLayout>
              </c:layout>
              <c:showVal val="1"/>
            </c:dLbl>
            <c:txPr>
              <a:bodyPr/>
              <a:lstStyle/>
              <a:p>
                <a:pPr>
                  <a:defRPr sz="1400" b="1">
                    <a:solidFill>
                      <a:srgbClr val="C00000"/>
                    </a:solidFill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Val val="1"/>
          </c:dLbls>
          <c:cat>
            <c:strRef>
              <c:f>Портрет!$O$1:$O$7</c:f>
              <c:strCache>
                <c:ptCount val="7"/>
                <c:pt idx="0">
                  <c:v>Система управління</c:v>
                </c:pt>
                <c:pt idx="1">
                  <c:v>Організація освітнього процесу </c:v>
                </c:pt>
                <c:pt idx="2">
                  <c:v>Робота з педкадрами</c:v>
                </c:pt>
                <c:pt idx="3">
                  <c:v>Матеріально-технічна база
</c:v>
                </c:pt>
                <c:pt idx="4">
                  <c:v>«Заклад – сім’я – соціальне середовище»</c:v>
                </c:pt>
                <c:pt idx="5">
                  <c:v>Безпечне освітнє середовище</c:v>
                </c:pt>
                <c:pt idx="6">
                  <c:v>Піар-менеджмент</c:v>
                </c:pt>
              </c:strCache>
            </c:strRef>
          </c:cat>
          <c:val>
            <c:numRef>
              <c:f>Портрет!$P$1:$P$7</c:f>
              <c:numCache>
                <c:formatCode>0.00%</c:formatCode>
                <c:ptCount val="7"/>
                <c:pt idx="0">
                  <c:v>0.83333333333333326</c:v>
                </c:pt>
                <c:pt idx="1">
                  <c:v>0.75980392156862753</c:v>
                </c:pt>
                <c:pt idx="2">
                  <c:v>0.75</c:v>
                </c:pt>
                <c:pt idx="3">
                  <c:v>0.63888888888888895</c:v>
                </c:pt>
                <c:pt idx="4">
                  <c:v>0.48333333333333328</c:v>
                </c:pt>
                <c:pt idx="5">
                  <c:v>0.91666666666666663</c:v>
                </c:pt>
                <c:pt idx="6">
                  <c:v>0.81666666666666665</c:v>
                </c:pt>
              </c:numCache>
            </c:numRef>
          </c:val>
        </c:ser>
        <c:axId val="143218176"/>
        <c:axId val="143219712"/>
      </c:radarChart>
      <c:catAx>
        <c:axId val="143218176"/>
        <c:scaling>
          <c:orientation val="minMax"/>
        </c:scaling>
        <c:axPos val="b"/>
        <c:majorGridlines/>
        <c:tickLblPos val="nextTo"/>
        <c:txPr>
          <a:bodyPr anchor="t" anchorCtr="0"/>
          <a:lstStyle/>
          <a:p>
            <a:pPr>
              <a:defRPr sz="1400" b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43219712"/>
        <c:crosses val="autoZero"/>
        <c:auto val="1"/>
        <c:lblAlgn val="ctr"/>
        <c:lblOffset val="100"/>
      </c:catAx>
      <c:valAx>
        <c:axId val="143219712"/>
        <c:scaling>
          <c:orientation val="minMax"/>
        </c:scaling>
        <c:delete val="1"/>
        <c:axPos val="l"/>
        <c:numFmt formatCode="0.00%" sourceLinked="1"/>
        <c:majorTickMark val="cross"/>
        <c:tickLblPos val="none"/>
        <c:crossAx val="143218176"/>
        <c:crosses val="autoZero"/>
        <c:crossBetween val="between"/>
      </c:valAx>
    </c:plotArea>
    <c:plotVisOnly val="1"/>
    <c:dispBlanksAs val="gap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61911</xdr:rowOff>
    </xdr:from>
    <xdr:to>
      <xdr:col>9</xdr:col>
      <xdr:colOff>247650</xdr:colOff>
      <xdr:row>38</xdr:row>
      <xdr:rowOff>47624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>
      <selection sqref="A1:B1"/>
    </sheetView>
  </sheetViews>
  <sheetFormatPr defaultRowHeight="18"/>
  <cols>
    <col min="1" max="1" width="6" style="13" customWidth="1"/>
    <col min="2" max="2" width="80" style="1" customWidth="1"/>
    <col min="3" max="16384" width="8.88671875" style="1"/>
  </cols>
  <sheetData>
    <row r="1" spans="1:2">
      <c r="A1" s="149" t="s">
        <v>380</v>
      </c>
      <c r="B1" s="149"/>
    </row>
    <row r="2" spans="1:2">
      <c r="A2" s="149" t="s">
        <v>381</v>
      </c>
      <c r="B2" s="149"/>
    </row>
    <row r="3" spans="1:2">
      <c r="A3" s="149" t="s">
        <v>382</v>
      </c>
      <c r="B3" s="149"/>
    </row>
    <row r="4" spans="1:2" ht="11.4" customHeight="1"/>
    <row r="5" spans="1:2" ht="20.399999999999999" customHeight="1">
      <c r="A5" s="146" t="s">
        <v>0</v>
      </c>
      <c r="B5" s="146" t="s">
        <v>378</v>
      </c>
    </row>
    <row r="6" spans="1:2" ht="22.2" customHeight="1">
      <c r="A6" s="148">
        <v>1</v>
      </c>
      <c r="B6" s="147" t="s">
        <v>383</v>
      </c>
    </row>
    <row r="7" spans="1:2" ht="57.6" customHeight="1">
      <c r="A7" s="148">
        <v>2</v>
      </c>
      <c r="B7" s="147" t="s">
        <v>384</v>
      </c>
    </row>
    <row r="8" spans="1:2" ht="57" customHeight="1">
      <c r="A8" s="148">
        <v>3</v>
      </c>
      <c r="B8" s="147" t="s">
        <v>385</v>
      </c>
    </row>
    <row r="9" spans="1:2" ht="38.4" customHeight="1">
      <c r="A9" s="148">
        <v>4</v>
      </c>
      <c r="B9" s="147" t="s">
        <v>386</v>
      </c>
    </row>
    <row r="10" spans="1:2" ht="55.2" customHeight="1">
      <c r="A10" s="148">
        <v>5</v>
      </c>
      <c r="B10" s="147" t="s">
        <v>387</v>
      </c>
    </row>
    <row r="11" spans="1:2" ht="57" customHeight="1">
      <c r="A11" s="148">
        <v>6</v>
      </c>
      <c r="B11" s="147" t="s">
        <v>388</v>
      </c>
    </row>
    <row r="12" spans="1:2" ht="41.4" customHeight="1">
      <c r="A12" s="148">
        <v>7</v>
      </c>
      <c r="B12" s="147" t="s">
        <v>389</v>
      </c>
    </row>
  </sheetData>
  <sheetProtection password="CC43" sheet="1" objects="1" scenarios="1"/>
  <mergeCells count="3">
    <mergeCell ref="A1:B1"/>
    <mergeCell ref="A2:B2"/>
    <mergeCell ref="A3:B3"/>
  </mergeCells>
  <pageMargins left="0.7" right="0.7" top="0.75" bottom="0.75" header="0.3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5"/>
  <sheetViews>
    <sheetView zoomScaleNormal="100" workbookViewId="0">
      <selection sqref="A1:E1"/>
    </sheetView>
  </sheetViews>
  <sheetFormatPr defaultColWidth="9.109375" defaultRowHeight="18"/>
  <cols>
    <col min="1" max="1" width="24.5546875" style="13" customWidth="1"/>
    <col min="2" max="2" width="8.5546875" style="13" customWidth="1"/>
    <col min="3" max="3" width="72.109375" style="1" customWidth="1"/>
    <col min="4" max="4" width="11.33203125" style="8" bestFit="1" customWidth="1"/>
    <col min="5" max="5" width="14.109375" style="8" bestFit="1" customWidth="1"/>
    <col min="6" max="7" width="9.109375" style="1"/>
    <col min="8" max="8" width="40.33203125" style="1" bestFit="1" customWidth="1"/>
    <col min="9" max="16384" width="9.109375" style="1"/>
  </cols>
  <sheetData>
    <row r="1" spans="1:5">
      <c r="A1" s="156" t="s">
        <v>379</v>
      </c>
      <c r="B1" s="156"/>
      <c r="C1" s="156"/>
      <c r="D1" s="156"/>
      <c r="E1" s="156"/>
    </row>
    <row r="2" spans="1:5">
      <c r="A2" s="22"/>
      <c r="B2" s="22"/>
      <c r="C2" s="22" t="s">
        <v>277</v>
      </c>
      <c r="D2" s="22"/>
      <c r="E2" s="22"/>
    </row>
    <row r="3" spans="1:5">
      <c r="A3" s="156" t="s">
        <v>62</v>
      </c>
      <c r="B3" s="156"/>
      <c r="C3" s="156"/>
      <c r="D3" s="156"/>
      <c r="E3" s="156"/>
    </row>
    <row r="4" spans="1:5" ht="9.75" customHeight="1">
      <c r="A4" s="19"/>
      <c r="B4" s="19"/>
      <c r="C4" s="20"/>
      <c r="D4" s="23"/>
      <c r="E4" s="23"/>
    </row>
    <row r="5" spans="1:5" s="13" customFormat="1" ht="52.2">
      <c r="A5" s="21" t="s">
        <v>132</v>
      </c>
      <c r="B5" s="21" t="s">
        <v>131</v>
      </c>
      <c r="C5" s="21" t="s">
        <v>245</v>
      </c>
      <c r="D5" s="2" t="s">
        <v>135</v>
      </c>
      <c r="E5" s="2" t="s">
        <v>278</v>
      </c>
    </row>
    <row r="6" spans="1:5">
      <c r="A6" s="157" t="s">
        <v>152</v>
      </c>
      <c r="B6" s="150" t="s">
        <v>133</v>
      </c>
      <c r="C6" s="58" t="s">
        <v>134</v>
      </c>
      <c r="D6" s="53" t="s">
        <v>143</v>
      </c>
      <c r="E6" s="54" t="s">
        <v>279</v>
      </c>
    </row>
    <row r="7" spans="1:5" ht="36">
      <c r="A7" s="153"/>
      <c r="B7" s="151"/>
      <c r="C7" s="134" t="s">
        <v>339</v>
      </c>
      <c r="D7" s="131" t="s">
        <v>144</v>
      </c>
      <c r="E7" s="55" t="s">
        <v>280</v>
      </c>
    </row>
    <row r="8" spans="1:5">
      <c r="A8" s="153" t="s">
        <v>246</v>
      </c>
      <c r="B8" s="151"/>
      <c r="C8" s="134" t="s">
        <v>136</v>
      </c>
      <c r="D8" s="131" t="s">
        <v>145</v>
      </c>
      <c r="E8" s="55" t="s">
        <v>281</v>
      </c>
    </row>
    <row r="9" spans="1:5">
      <c r="A9" s="153"/>
      <c r="B9" s="151"/>
      <c r="C9" s="134" t="s">
        <v>137</v>
      </c>
      <c r="D9" s="131" t="s">
        <v>146</v>
      </c>
      <c r="E9" s="55" t="s">
        <v>282</v>
      </c>
    </row>
    <row r="10" spans="1:5">
      <c r="A10" s="153"/>
      <c r="B10" s="151"/>
      <c r="C10" s="134" t="s">
        <v>138</v>
      </c>
      <c r="D10" s="131" t="s">
        <v>147</v>
      </c>
      <c r="E10" s="55" t="s">
        <v>283</v>
      </c>
    </row>
    <row r="11" spans="1:5" ht="36">
      <c r="A11" s="153"/>
      <c r="B11" s="151"/>
      <c r="C11" s="134" t="s">
        <v>139</v>
      </c>
      <c r="D11" s="131" t="s">
        <v>148</v>
      </c>
      <c r="E11" s="55" t="s">
        <v>142</v>
      </c>
    </row>
    <row r="12" spans="1:5" ht="36">
      <c r="A12" s="153"/>
      <c r="B12" s="151"/>
      <c r="C12" s="134" t="s">
        <v>140</v>
      </c>
      <c r="D12" s="131" t="s">
        <v>149</v>
      </c>
      <c r="E12" s="55" t="s">
        <v>284</v>
      </c>
    </row>
    <row r="13" spans="1:5" ht="36">
      <c r="A13" s="153"/>
      <c r="B13" s="151"/>
      <c r="C13" s="134" t="s">
        <v>141</v>
      </c>
      <c r="D13" s="131" t="s">
        <v>150</v>
      </c>
      <c r="E13" s="55" t="s">
        <v>285</v>
      </c>
    </row>
    <row r="14" spans="1:5">
      <c r="A14" s="158"/>
      <c r="B14" s="152"/>
      <c r="C14" s="135" t="s">
        <v>340</v>
      </c>
      <c r="D14" s="132" t="s">
        <v>151</v>
      </c>
      <c r="E14" s="57" t="s">
        <v>286</v>
      </c>
    </row>
    <row r="15" spans="1:5" ht="36">
      <c r="A15" s="58" t="s">
        <v>153</v>
      </c>
      <c r="B15" s="150" t="s">
        <v>154</v>
      </c>
      <c r="C15" s="58" t="s">
        <v>155</v>
      </c>
      <c r="D15" s="133" t="s">
        <v>159</v>
      </c>
      <c r="E15" s="54" t="s">
        <v>287</v>
      </c>
    </row>
    <row r="16" spans="1:5">
      <c r="A16" s="161" t="s">
        <v>247</v>
      </c>
      <c r="B16" s="151"/>
      <c r="C16" s="134" t="s">
        <v>156</v>
      </c>
      <c r="D16" s="131" t="s">
        <v>170</v>
      </c>
      <c r="E16" s="55" t="s">
        <v>288</v>
      </c>
    </row>
    <row r="17" spans="1:5" ht="18.75" customHeight="1">
      <c r="A17" s="161"/>
      <c r="B17" s="151"/>
      <c r="C17" s="134" t="s">
        <v>157</v>
      </c>
      <c r="D17" s="131" t="s">
        <v>171</v>
      </c>
      <c r="E17" s="55" t="s">
        <v>289</v>
      </c>
    </row>
    <row r="18" spans="1:5">
      <c r="A18" s="161"/>
      <c r="B18" s="151"/>
      <c r="C18" s="134" t="s">
        <v>158</v>
      </c>
      <c r="D18" s="131" t="s">
        <v>172</v>
      </c>
      <c r="E18" s="55" t="s">
        <v>290</v>
      </c>
    </row>
    <row r="19" spans="1:5">
      <c r="A19" s="161"/>
      <c r="B19" s="151"/>
      <c r="C19" s="134" t="s">
        <v>341</v>
      </c>
      <c r="D19" s="131" t="s">
        <v>173</v>
      </c>
      <c r="E19" s="55" t="s">
        <v>291</v>
      </c>
    </row>
    <row r="20" spans="1:5" ht="36">
      <c r="A20" s="161"/>
      <c r="B20" s="151"/>
      <c r="C20" s="134" t="s">
        <v>160</v>
      </c>
      <c r="D20" s="131" t="s">
        <v>174</v>
      </c>
      <c r="E20" s="55" t="s">
        <v>292</v>
      </c>
    </row>
    <row r="21" spans="1:5" ht="36">
      <c r="A21" s="161"/>
      <c r="B21" s="151"/>
      <c r="C21" s="134" t="s">
        <v>161</v>
      </c>
      <c r="D21" s="131" t="s">
        <v>175</v>
      </c>
      <c r="E21" s="55" t="s">
        <v>293</v>
      </c>
    </row>
    <row r="22" spans="1:5" ht="36">
      <c r="A22" s="161"/>
      <c r="B22" s="151"/>
      <c r="C22" s="134" t="s">
        <v>162</v>
      </c>
      <c r="D22" s="131" t="s">
        <v>176</v>
      </c>
      <c r="E22" s="55" t="s">
        <v>294</v>
      </c>
    </row>
    <row r="23" spans="1:5" ht="36">
      <c r="A23" s="161"/>
      <c r="B23" s="151"/>
      <c r="C23" s="134" t="s">
        <v>163</v>
      </c>
      <c r="D23" s="131" t="s">
        <v>177</v>
      </c>
      <c r="E23" s="55" t="s">
        <v>295</v>
      </c>
    </row>
    <row r="24" spans="1:5" ht="36">
      <c r="A24" s="161"/>
      <c r="B24" s="151"/>
      <c r="C24" s="134" t="s">
        <v>342</v>
      </c>
      <c r="D24" s="131" t="s">
        <v>178</v>
      </c>
      <c r="E24" s="55" t="s">
        <v>296</v>
      </c>
    </row>
    <row r="25" spans="1:5" ht="36">
      <c r="A25" s="161"/>
      <c r="B25" s="151"/>
      <c r="C25" s="134" t="s">
        <v>343</v>
      </c>
      <c r="D25" s="131" t="s">
        <v>179</v>
      </c>
      <c r="E25" s="55" t="s">
        <v>297</v>
      </c>
    </row>
    <row r="26" spans="1:5" ht="36">
      <c r="A26" s="161"/>
      <c r="B26" s="151"/>
      <c r="C26" s="134" t="s">
        <v>164</v>
      </c>
      <c r="D26" s="131" t="s">
        <v>182</v>
      </c>
      <c r="E26" s="55" t="s">
        <v>298</v>
      </c>
    </row>
    <row r="27" spans="1:5" ht="36">
      <c r="A27" s="161"/>
      <c r="B27" s="151"/>
      <c r="C27" s="134" t="s">
        <v>165</v>
      </c>
      <c r="D27" s="131" t="s">
        <v>183</v>
      </c>
      <c r="E27" s="55" t="s">
        <v>299</v>
      </c>
    </row>
    <row r="28" spans="1:5" ht="22.5" customHeight="1">
      <c r="A28" s="161"/>
      <c r="B28" s="151"/>
      <c r="C28" s="134" t="s">
        <v>166</v>
      </c>
      <c r="D28" s="131" t="s">
        <v>180</v>
      </c>
      <c r="E28" s="55" t="s">
        <v>300</v>
      </c>
    </row>
    <row r="29" spans="1:5" ht="36">
      <c r="A29" s="161"/>
      <c r="B29" s="151"/>
      <c r="C29" s="134" t="s">
        <v>167</v>
      </c>
      <c r="D29" s="131" t="s">
        <v>181</v>
      </c>
      <c r="E29" s="55" t="s">
        <v>301</v>
      </c>
    </row>
    <row r="30" spans="1:5">
      <c r="A30" s="161"/>
      <c r="B30" s="151"/>
      <c r="C30" s="134" t="s">
        <v>168</v>
      </c>
      <c r="D30" s="131" t="s">
        <v>184</v>
      </c>
      <c r="E30" s="55" t="s">
        <v>302</v>
      </c>
    </row>
    <row r="31" spans="1:5">
      <c r="A31" s="162"/>
      <c r="B31" s="152"/>
      <c r="C31" s="135" t="s">
        <v>169</v>
      </c>
      <c r="D31" s="132" t="s">
        <v>185</v>
      </c>
      <c r="E31" s="57" t="s">
        <v>303</v>
      </c>
    </row>
    <row r="32" spans="1:5">
      <c r="A32" s="157" t="s">
        <v>186</v>
      </c>
      <c r="B32" s="150" t="s">
        <v>187</v>
      </c>
      <c r="C32" s="136" t="s">
        <v>193</v>
      </c>
      <c r="D32" s="133" t="s">
        <v>188</v>
      </c>
      <c r="E32" s="54" t="s">
        <v>304</v>
      </c>
    </row>
    <row r="33" spans="1:5" ht="36">
      <c r="A33" s="153"/>
      <c r="B33" s="151"/>
      <c r="C33" s="134" t="s">
        <v>344</v>
      </c>
      <c r="D33" s="131" t="s">
        <v>189</v>
      </c>
      <c r="E33" s="55" t="s">
        <v>305</v>
      </c>
    </row>
    <row r="34" spans="1:5">
      <c r="A34" s="153" t="s">
        <v>248</v>
      </c>
      <c r="B34" s="151"/>
      <c r="C34" s="134" t="s">
        <v>194</v>
      </c>
      <c r="D34" s="131" t="s">
        <v>190</v>
      </c>
      <c r="E34" s="55" t="s">
        <v>306</v>
      </c>
    </row>
    <row r="35" spans="1:5">
      <c r="A35" s="154"/>
      <c r="B35" s="151"/>
      <c r="C35" s="134" t="s">
        <v>195</v>
      </c>
      <c r="D35" s="131" t="s">
        <v>201</v>
      </c>
      <c r="E35" s="55" t="s">
        <v>307</v>
      </c>
    </row>
    <row r="36" spans="1:5" ht="36">
      <c r="A36" s="154"/>
      <c r="B36" s="151"/>
      <c r="C36" s="134" t="s">
        <v>196</v>
      </c>
      <c r="D36" s="131" t="s">
        <v>192</v>
      </c>
      <c r="E36" s="55" t="s">
        <v>308</v>
      </c>
    </row>
    <row r="37" spans="1:5" ht="36">
      <c r="A37" s="154"/>
      <c r="B37" s="151"/>
      <c r="C37" s="134" t="s">
        <v>197</v>
      </c>
      <c r="D37" s="131" t="s">
        <v>191</v>
      </c>
      <c r="E37" s="55" t="s">
        <v>309</v>
      </c>
    </row>
    <row r="38" spans="1:5">
      <c r="A38" s="154"/>
      <c r="B38" s="151"/>
      <c r="C38" s="134" t="s">
        <v>198</v>
      </c>
      <c r="D38" s="131" t="s">
        <v>202</v>
      </c>
      <c r="E38" s="55" t="s">
        <v>310</v>
      </c>
    </row>
    <row r="39" spans="1:5">
      <c r="A39" s="154"/>
      <c r="B39" s="151"/>
      <c r="C39" s="134" t="s">
        <v>345</v>
      </c>
      <c r="D39" s="131" t="s">
        <v>203</v>
      </c>
      <c r="E39" s="55" t="s">
        <v>311</v>
      </c>
    </row>
    <row r="40" spans="1:5">
      <c r="A40" s="154"/>
      <c r="B40" s="151"/>
      <c r="C40" s="134" t="s">
        <v>199</v>
      </c>
      <c r="D40" s="131" t="s">
        <v>204</v>
      </c>
      <c r="E40" s="55" t="s">
        <v>312</v>
      </c>
    </row>
    <row r="41" spans="1:5">
      <c r="A41" s="155"/>
      <c r="B41" s="152"/>
      <c r="C41" s="135" t="s">
        <v>200</v>
      </c>
      <c r="D41" s="132" t="s">
        <v>205</v>
      </c>
      <c r="E41" s="57" t="s">
        <v>313</v>
      </c>
    </row>
    <row r="42" spans="1:5" ht="56.25" customHeight="1">
      <c r="A42" s="157" t="s">
        <v>206</v>
      </c>
      <c r="B42" s="150" t="s">
        <v>207</v>
      </c>
      <c r="C42" s="136" t="s">
        <v>346</v>
      </c>
      <c r="D42" s="133" t="s">
        <v>211</v>
      </c>
      <c r="E42" s="54" t="s">
        <v>314</v>
      </c>
    </row>
    <row r="43" spans="1:5" ht="54">
      <c r="A43" s="153"/>
      <c r="B43" s="151"/>
      <c r="C43" s="134" t="s">
        <v>347</v>
      </c>
      <c r="D43" s="131" t="s">
        <v>212</v>
      </c>
      <c r="E43" s="55" t="s">
        <v>315</v>
      </c>
    </row>
    <row r="44" spans="1:5" ht="36">
      <c r="A44" s="153" t="s">
        <v>249</v>
      </c>
      <c r="B44" s="151"/>
      <c r="C44" s="134" t="s">
        <v>208</v>
      </c>
      <c r="D44" s="131" t="s">
        <v>213</v>
      </c>
      <c r="E44" s="55" t="s">
        <v>316</v>
      </c>
    </row>
    <row r="45" spans="1:5" ht="36">
      <c r="A45" s="154"/>
      <c r="B45" s="151"/>
      <c r="C45" s="134" t="s">
        <v>209</v>
      </c>
      <c r="D45" s="131" t="s">
        <v>214</v>
      </c>
      <c r="E45" s="55" t="s">
        <v>317</v>
      </c>
    </row>
    <row r="46" spans="1:5">
      <c r="A46" s="154"/>
      <c r="B46" s="151"/>
      <c r="C46" s="134" t="s">
        <v>210</v>
      </c>
      <c r="D46" s="131" t="s">
        <v>215</v>
      </c>
      <c r="E46" s="55" t="s">
        <v>318</v>
      </c>
    </row>
    <row r="47" spans="1:5" ht="39" customHeight="1">
      <c r="A47" s="155"/>
      <c r="B47" s="152"/>
      <c r="C47" s="135" t="s">
        <v>348</v>
      </c>
      <c r="D47" s="132" t="s">
        <v>216</v>
      </c>
      <c r="E47" s="57" t="s">
        <v>319</v>
      </c>
    </row>
    <row r="48" spans="1:5">
      <c r="A48" s="157" t="s">
        <v>217</v>
      </c>
      <c r="B48" s="150" t="s">
        <v>223</v>
      </c>
      <c r="C48" s="136" t="s">
        <v>218</v>
      </c>
      <c r="D48" s="133" t="s">
        <v>224</v>
      </c>
      <c r="E48" s="54" t="s">
        <v>320</v>
      </c>
    </row>
    <row r="49" spans="1:5">
      <c r="A49" s="153"/>
      <c r="B49" s="151"/>
      <c r="C49" s="134" t="s">
        <v>219</v>
      </c>
      <c r="D49" s="131" t="s">
        <v>225</v>
      </c>
      <c r="E49" s="55" t="s">
        <v>321</v>
      </c>
    </row>
    <row r="50" spans="1:5" ht="36">
      <c r="A50" s="153"/>
      <c r="B50" s="151"/>
      <c r="C50" s="134" t="s">
        <v>220</v>
      </c>
      <c r="D50" s="131" t="s">
        <v>226</v>
      </c>
      <c r="E50" s="55" t="s">
        <v>322</v>
      </c>
    </row>
    <row r="51" spans="1:5" ht="36">
      <c r="A51" s="153" t="s">
        <v>250</v>
      </c>
      <c r="B51" s="151"/>
      <c r="C51" s="134" t="s">
        <v>221</v>
      </c>
      <c r="D51" s="131" t="s">
        <v>227</v>
      </c>
      <c r="E51" s="55" t="s">
        <v>323</v>
      </c>
    </row>
    <row r="52" spans="1:5" ht="21" customHeight="1">
      <c r="A52" s="155"/>
      <c r="B52" s="152"/>
      <c r="C52" s="135" t="s">
        <v>222</v>
      </c>
      <c r="D52" s="132" t="s">
        <v>228</v>
      </c>
      <c r="E52" s="57" t="s">
        <v>324</v>
      </c>
    </row>
    <row r="53" spans="1:5" ht="36">
      <c r="A53" s="157" t="s">
        <v>229</v>
      </c>
      <c r="B53" s="150" t="s">
        <v>230</v>
      </c>
      <c r="C53" s="136" t="s">
        <v>33</v>
      </c>
      <c r="D53" s="133" t="s">
        <v>231</v>
      </c>
      <c r="E53" s="54" t="s">
        <v>325</v>
      </c>
    </row>
    <row r="54" spans="1:5" ht="36">
      <c r="A54" s="153"/>
      <c r="B54" s="151"/>
      <c r="C54" s="134" t="s">
        <v>34</v>
      </c>
      <c r="D54" s="131" t="s">
        <v>232</v>
      </c>
      <c r="E54" s="55" t="s">
        <v>326</v>
      </c>
    </row>
    <row r="55" spans="1:5" ht="36">
      <c r="A55" s="56" t="s">
        <v>251</v>
      </c>
      <c r="B55" s="152"/>
      <c r="C55" s="135" t="s">
        <v>349</v>
      </c>
      <c r="D55" s="132" t="s">
        <v>233</v>
      </c>
      <c r="E55" s="57" t="s">
        <v>327</v>
      </c>
    </row>
    <row r="56" spans="1:5" ht="72">
      <c r="A56" s="59" t="s">
        <v>244</v>
      </c>
      <c r="B56" s="150" t="s">
        <v>243</v>
      </c>
      <c r="C56" s="137" t="s">
        <v>234</v>
      </c>
      <c r="D56" s="133" t="s">
        <v>238</v>
      </c>
      <c r="E56" s="54" t="s">
        <v>328</v>
      </c>
    </row>
    <row r="57" spans="1:5" ht="36">
      <c r="A57" s="153" t="s">
        <v>252</v>
      </c>
      <c r="B57" s="151"/>
      <c r="C57" s="138" t="s">
        <v>235</v>
      </c>
      <c r="D57" s="131" t="s">
        <v>239</v>
      </c>
      <c r="E57" s="55" t="s">
        <v>329</v>
      </c>
    </row>
    <row r="58" spans="1:5">
      <c r="A58" s="154"/>
      <c r="B58" s="151"/>
      <c r="C58" s="138" t="s">
        <v>236</v>
      </c>
      <c r="D58" s="131" t="s">
        <v>240</v>
      </c>
      <c r="E58" s="55" t="s">
        <v>330</v>
      </c>
    </row>
    <row r="59" spans="1:5">
      <c r="A59" s="154"/>
      <c r="B59" s="151"/>
      <c r="C59" s="138" t="s">
        <v>350</v>
      </c>
      <c r="D59" s="131" t="s">
        <v>241</v>
      </c>
      <c r="E59" s="55" t="s">
        <v>331</v>
      </c>
    </row>
    <row r="60" spans="1:5" ht="36">
      <c r="A60" s="155"/>
      <c r="B60" s="152"/>
      <c r="C60" s="139" t="s">
        <v>237</v>
      </c>
      <c r="D60" s="132" t="s">
        <v>242</v>
      </c>
      <c r="E60" s="57" t="s">
        <v>332</v>
      </c>
    </row>
    <row r="61" spans="1:5" ht="10.5" customHeight="1">
      <c r="A61" s="19"/>
      <c r="B61" s="19"/>
      <c r="C61" s="20"/>
      <c r="D61" s="23"/>
      <c r="E61" s="23"/>
    </row>
    <row r="62" spans="1:5" s="3" customFormat="1">
      <c r="A62" s="156" t="s">
        <v>37</v>
      </c>
      <c r="B62" s="156"/>
      <c r="C62" s="156"/>
      <c r="D62" s="24"/>
      <c r="E62" s="7"/>
    </row>
    <row r="63" spans="1:5" s="3" customFormat="1">
      <c r="A63" s="160" t="s">
        <v>360</v>
      </c>
      <c r="B63" s="160"/>
      <c r="C63" s="160"/>
      <c r="D63" s="160"/>
      <c r="E63" s="7"/>
    </row>
    <row r="64" spans="1:5" s="3" customFormat="1">
      <c r="A64" s="160" t="s">
        <v>356</v>
      </c>
      <c r="B64" s="160"/>
      <c r="C64" s="160"/>
      <c r="D64" s="160"/>
      <c r="E64" s="7"/>
    </row>
    <row r="65" spans="1:8" s="3" customFormat="1">
      <c r="A65" s="160" t="s">
        <v>357</v>
      </c>
      <c r="B65" s="160"/>
      <c r="C65" s="160"/>
      <c r="D65" s="160"/>
      <c r="E65" s="7"/>
    </row>
    <row r="66" spans="1:8" s="3" customFormat="1">
      <c r="A66" s="160" t="s">
        <v>359</v>
      </c>
      <c r="B66" s="160"/>
      <c r="C66" s="160"/>
      <c r="D66" s="160"/>
      <c r="E66" s="7"/>
    </row>
    <row r="67" spans="1:8" s="3" customFormat="1">
      <c r="A67" s="160" t="s">
        <v>358</v>
      </c>
      <c r="B67" s="160"/>
      <c r="C67" s="160"/>
      <c r="D67" s="160"/>
      <c r="E67" s="7"/>
    </row>
    <row r="68" spans="1:8" s="3" customFormat="1" ht="9" customHeight="1">
      <c r="A68" s="5"/>
      <c r="B68" s="5"/>
      <c r="C68" s="6"/>
      <c r="D68" s="24"/>
      <c r="E68" s="7"/>
    </row>
    <row r="69" spans="1:8" s="14" customFormat="1">
      <c r="A69" s="159" t="s">
        <v>338</v>
      </c>
      <c r="B69" s="159"/>
      <c r="C69" s="159"/>
      <c r="D69" s="159"/>
      <c r="E69" s="159"/>
      <c r="F69" s="15"/>
      <c r="G69" s="15"/>
      <c r="H69" s="15"/>
    </row>
    <row r="70" spans="1:8" ht="10.5" customHeight="1"/>
    <row r="71" spans="1:8">
      <c r="A71" s="128" t="s">
        <v>337</v>
      </c>
      <c r="B71" s="129">
        <v>0.88</v>
      </c>
      <c r="C71" s="130" t="s">
        <v>351</v>
      </c>
    </row>
    <row r="72" spans="1:8">
      <c r="A72" s="128" t="s">
        <v>333</v>
      </c>
      <c r="B72" s="129">
        <v>0.76</v>
      </c>
      <c r="C72" s="130" t="s">
        <v>352</v>
      </c>
    </row>
    <row r="73" spans="1:8">
      <c r="A73" s="128" t="s">
        <v>334</v>
      </c>
      <c r="B73" s="129">
        <v>0.51</v>
      </c>
      <c r="C73" s="130" t="s">
        <v>353</v>
      </c>
    </row>
    <row r="74" spans="1:8">
      <c r="A74" s="128" t="s">
        <v>335</v>
      </c>
      <c r="B74" s="129">
        <v>0.26</v>
      </c>
      <c r="C74" s="130" t="s">
        <v>354</v>
      </c>
    </row>
    <row r="75" spans="1:8">
      <c r="A75" s="128" t="s">
        <v>336</v>
      </c>
      <c r="B75" s="129">
        <v>0</v>
      </c>
      <c r="C75" s="130" t="s">
        <v>355</v>
      </c>
    </row>
  </sheetData>
  <sheetProtection password="CC43" sheet="1" objects="1" scenarios="1"/>
  <mergeCells count="27">
    <mergeCell ref="A69:E69"/>
    <mergeCell ref="A65:D65"/>
    <mergeCell ref="A66:D66"/>
    <mergeCell ref="A67:D67"/>
    <mergeCell ref="B6:B14"/>
    <mergeCell ref="A64:D64"/>
    <mergeCell ref="A42:A43"/>
    <mergeCell ref="A44:A47"/>
    <mergeCell ref="B42:B47"/>
    <mergeCell ref="A48:A50"/>
    <mergeCell ref="A51:A52"/>
    <mergeCell ref="B48:B52"/>
    <mergeCell ref="A53:A54"/>
    <mergeCell ref="A16:A31"/>
    <mergeCell ref="A62:C62"/>
    <mergeCell ref="A63:D63"/>
    <mergeCell ref="B53:B55"/>
    <mergeCell ref="A57:A60"/>
    <mergeCell ref="B56:B60"/>
    <mergeCell ref="A1:E1"/>
    <mergeCell ref="A3:E3"/>
    <mergeCell ref="A6:A7"/>
    <mergeCell ref="A8:A14"/>
    <mergeCell ref="B15:B31"/>
    <mergeCell ref="A32:A33"/>
    <mergeCell ref="A34:A41"/>
    <mergeCell ref="B32:B41"/>
  </mergeCells>
  <pageMargins left="0.70866141732283472" right="0.62992125984251968" top="0.74803149606299213" bottom="0.65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0"/>
  <sheetViews>
    <sheetView workbookViewId="0">
      <selection activeCell="A3" sqref="A3:D3"/>
    </sheetView>
  </sheetViews>
  <sheetFormatPr defaultColWidth="9.109375" defaultRowHeight="16.8"/>
  <cols>
    <col min="1" max="1" width="5.109375" style="28" bestFit="1" customWidth="1"/>
    <col min="2" max="2" width="69.109375" style="11" customWidth="1"/>
    <col min="3" max="3" width="0.88671875" style="28" hidden="1" customWidth="1"/>
    <col min="4" max="4" width="14.88671875" style="11" customWidth="1"/>
    <col min="5" max="6" width="9.109375" style="11"/>
    <col min="7" max="7" width="5.88671875" style="11" customWidth="1"/>
    <col min="8" max="16384" width="9.109375" style="11"/>
  </cols>
  <sheetData>
    <row r="1" spans="1:4">
      <c r="A1" s="163" t="s">
        <v>276</v>
      </c>
      <c r="B1" s="163"/>
      <c r="C1" s="163"/>
      <c r="D1" s="163"/>
    </row>
    <row r="2" spans="1:4">
      <c r="A2" s="163" t="s">
        <v>62</v>
      </c>
      <c r="B2" s="163"/>
      <c r="C2" s="163"/>
      <c r="D2" s="163"/>
    </row>
    <row r="3" spans="1:4" ht="33" customHeight="1">
      <c r="A3" s="197" t="s">
        <v>390</v>
      </c>
      <c r="B3" s="196"/>
      <c r="C3" s="196"/>
      <c r="D3" s="196"/>
    </row>
    <row r="4" spans="1:4" ht="6.75" customHeight="1">
      <c r="A4" s="25"/>
      <c r="B4" s="26"/>
      <c r="C4" s="25"/>
      <c r="D4" s="26"/>
    </row>
    <row r="5" spans="1:4" hidden="1">
      <c r="A5" s="25"/>
      <c r="B5" s="26"/>
      <c r="C5" s="25"/>
      <c r="D5" s="26"/>
    </row>
    <row r="6" spans="1:4" s="28" customFormat="1" ht="35.25" customHeight="1">
      <c r="A6" s="27" t="s">
        <v>0</v>
      </c>
      <c r="B6" s="27" t="s">
        <v>1</v>
      </c>
      <c r="C6" s="27" t="s">
        <v>43</v>
      </c>
      <c r="D6" s="27" t="s">
        <v>2</v>
      </c>
    </row>
    <row r="7" spans="1:4" s="30" customFormat="1">
      <c r="A7" s="27" t="s">
        <v>3</v>
      </c>
      <c r="B7" s="27" t="s">
        <v>5</v>
      </c>
      <c r="C7" s="140">
        <v>0.21</v>
      </c>
      <c r="D7" s="29"/>
    </row>
    <row r="8" spans="1:4" ht="18.75" customHeight="1">
      <c r="A8" s="31">
        <v>1</v>
      </c>
      <c r="B8" s="142" t="s">
        <v>47</v>
      </c>
      <c r="C8" s="141">
        <v>0.1</v>
      </c>
      <c r="D8" s="32"/>
    </row>
    <row r="9" spans="1:4" ht="36">
      <c r="A9" s="31">
        <v>2</v>
      </c>
      <c r="B9" s="142" t="s">
        <v>361</v>
      </c>
      <c r="C9" s="141">
        <v>0.14000000000000001</v>
      </c>
      <c r="D9" s="32"/>
    </row>
    <row r="10" spans="1:4" ht="18">
      <c r="A10" s="31">
        <v>3</v>
      </c>
      <c r="B10" s="142" t="s">
        <v>6</v>
      </c>
      <c r="C10" s="141">
        <v>0.13</v>
      </c>
      <c r="D10" s="32"/>
    </row>
    <row r="11" spans="1:4" ht="18">
      <c r="A11" s="31">
        <v>4</v>
      </c>
      <c r="B11" s="142" t="s">
        <v>44</v>
      </c>
      <c r="C11" s="141">
        <v>0.13</v>
      </c>
      <c r="D11" s="32"/>
    </row>
    <row r="12" spans="1:4" ht="18">
      <c r="A12" s="31">
        <v>5</v>
      </c>
      <c r="B12" s="142" t="s">
        <v>9</v>
      </c>
      <c r="C12" s="141">
        <v>0.14000000000000001</v>
      </c>
      <c r="D12" s="32"/>
    </row>
    <row r="13" spans="1:4" ht="36">
      <c r="A13" s="31">
        <v>6</v>
      </c>
      <c r="B13" s="142" t="s">
        <v>7</v>
      </c>
      <c r="C13" s="141">
        <v>0.1</v>
      </c>
      <c r="D13" s="32"/>
    </row>
    <row r="14" spans="1:4" ht="36">
      <c r="A14" s="31">
        <v>7</v>
      </c>
      <c r="B14" s="142" t="s">
        <v>8</v>
      </c>
      <c r="C14" s="141">
        <v>0.13</v>
      </c>
      <c r="D14" s="32"/>
    </row>
    <row r="15" spans="1:4" ht="18.75" customHeight="1">
      <c r="A15" s="31">
        <v>8</v>
      </c>
      <c r="B15" s="142" t="s">
        <v>10</v>
      </c>
      <c r="C15" s="141">
        <v>0.08</v>
      </c>
      <c r="D15" s="32"/>
    </row>
    <row r="16" spans="1:4" ht="18">
      <c r="A16" s="31">
        <v>9</v>
      </c>
      <c r="B16" s="142" t="s">
        <v>362</v>
      </c>
      <c r="C16" s="141">
        <v>0.05</v>
      </c>
      <c r="D16" s="32"/>
    </row>
    <row r="17" spans="1:4" hidden="1">
      <c r="A17" s="33" t="s">
        <v>4</v>
      </c>
      <c r="B17" s="27" t="s">
        <v>11</v>
      </c>
      <c r="C17" s="140">
        <v>0.25</v>
      </c>
      <c r="D17" s="32"/>
    </row>
    <row r="18" spans="1:4" ht="18">
      <c r="A18" s="31">
        <v>10</v>
      </c>
      <c r="B18" s="142" t="s">
        <v>13</v>
      </c>
      <c r="C18" s="141">
        <v>0.06</v>
      </c>
      <c r="D18" s="32"/>
    </row>
    <row r="19" spans="1:4" ht="18">
      <c r="A19" s="31">
        <v>11</v>
      </c>
      <c r="B19" s="142" t="s">
        <v>14</v>
      </c>
      <c r="C19" s="141">
        <v>0.04</v>
      </c>
      <c r="D19" s="32"/>
    </row>
    <row r="20" spans="1:4" ht="18">
      <c r="A20" s="31">
        <v>12</v>
      </c>
      <c r="B20" s="142" t="s">
        <v>39</v>
      </c>
      <c r="C20" s="141">
        <v>0.11</v>
      </c>
      <c r="D20" s="32"/>
    </row>
    <row r="21" spans="1:4" ht="18">
      <c r="A21" s="31">
        <v>13</v>
      </c>
      <c r="B21" s="142" t="s">
        <v>40</v>
      </c>
      <c r="C21" s="141">
        <v>0.1</v>
      </c>
      <c r="D21" s="32"/>
    </row>
    <row r="22" spans="1:4" ht="18">
      <c r="A22" s="31">
        <v>14</v>
      </c>
      <c r="B22" s="142" t="s">
        <v>363</v>
      </c>
      <c r="C22" s="141">
        <v>0.05</v>
      </c>
      <c r="D22" s="32"/>
    </row>
    <row r="23" spans="1:4" ht="18.75" customHeight="1">
      <c r="A23" s="31">
        <v>15</v>
      </c>
      <c r="B23" s="142" t="s">
        <v>15</v>
      </c>
      <c r="C23" s="141">
        <v>0.04</v>
      </c>
      <c r="D23" s="32"/>
    </row>
    <row r="24" spans="1:4" ht="36">
      <c r="A24" s="31">
        <v>16</v>
      </c>
      <c r="B24" s="142" t="s">
        <v>48</v>
      </c>
      <c r="C24" s="141">
        <v>0.1</v>
      </c>
      <c r="D24" s="32"/>
    </row>
    <row r="25" spans="1:4" ht="36">
      <c r="A25" s="31">
        <v>17</v>
      </c>
      <c r="B25" s="142" t="s">
        <v>49</v>
      </c>
      <c r="C25" s="141">
        <v>0.1</v>
      </c>
      <c r="D25" s="32"/>
    </row>
    <row r="26" spans="1:4" ht="36">
      <c r="A26" s="31">
        <v>18</v>
      </c>
      <c r="B26" s="142" t="s">
        <v>50</v>
      </c>
      <c r="C26" s="141">
        <v>0.08</v>
      </c>
      <c r="D26" s="32"/>
    </row>
    <row r="27" spans="1:4" ht="36">
      <c r="A27" s="31">
        <v>19</v>
      </c>
      <c r="B27" s="142" t="s">
        <v>364</v>
      </c>
      <c r="C27" s="141">
        <v>0.04</v>
      </c>
      <c r="D27" s="32"/>
    </row>
    <row r="28" spans="1:4" ht="37.5" customHeight="1">
      <c r="A28" s="31">
        <v>20</v>
      </c>
      <c r="B28" s="142" t="s">
        <v>365</v>
      </c>
      <c r="C28" s="141">
        <v>0.04</v>
      </c>
      <c r="D28" s="32"/>
    </row>
    <row r="29" spans="1:4" ht="36">
      <c r="A29" s="31">
        <v>21</v>
      </c>
      <c r="B29" s="142" t="s">
        <v>17</v>
      </c>
      <c r="C29" s="141">
        <v>0.06</v>
      </c>
      <c r="D29" s="32"/>
    </row>
    <row r="30" spans="1:4" ht="36">
      <c r="A30" s="31">
        <v>22</v>
      </c>
      <c r="B30" s="142" t="s">
        <v>18</v>
      </c>
      <c r="C30" s="141">
        <v>0.04</v>
      </c>
      <c r="D30" s="32"/>
    </row>
    <row r="31" spans="1:4" ht="18">
      <c r="A31" s="31">
        <v>23</v>
      </c>
      <c r="B31" s="142" t="s">
        <v>16</v>
      </c>
      <c r="C31" s="141">
        <v>0.04</v>
      </c>
      <c r="D31" s="32"/>
    </row>
    <row r="32" spans="1:4" ht="18" customHeight="1">
      <c r="A32" s="31">
        <v>24</v>
      </c>
      <c r="B32" s="142" t="s">
        <v>51</v>
      </c>
      <c r="C32" s="141">
        <v>0.05</v>
      </c>
      <c r="D32" s="32"/>
    </row>
    <row r="33" spans="1:4" ht="18">
      <c r="A33" s="31">
        <v>25</v>
      </c>
      <c r="B33" s="142" t="s">
        <v>19</v>
      </c>
      <c r="C33" s="141">
        <v>0.03</v>
      </c>
      <c r="D33" s="32"/>
    </row>
    <row r="34" spans="1:4" ht="18">
      <c r="A34" s="31">
        <v>26</v>
      </c>
      <c r="B34" s="142" t="s">
        <v>12</v>
      </c>
      <c r="C34" s="141">
        <v>0.02</v>
      </c>
      <c r="D34" s="32"/>
    </row>
    <row r="35" spans="1:4" hidden="1">
      <c r="A35" s="34" t="s">
        <v>20</v>
      </c>
      <c r="B35" s="34" t="s">
        <v>21</v>
      </c>
      <c r="C35" s="140">
        <v>0.14000000000000001</v>
      </c>
      <c r="D35" s="32"/>
    </row>
    <row r="36" spans="1:4" ht="18">
      <c r="A36" s="31">
        <v>27</v>
      </c>
      <c r="B36" s="142" t="s">
        <v>22</v>
      </c>
      <c r="C36" s="141">
        <v>0.13</v>
      </c>
      <c r="D36" s="32"/>
    </row>
    <row r="37" spans="1:4" ht="36">
      <c r="A37" s="31">
        <v>28</v>
      </c>
      <c r="B37" s="142" t="s">
        <v>366</v>
      </c>
      <c r="C37" s="141">
        <v>0.1</v>
      </c>
      <c r="D37" s="32"/>
    </row>
    <row r="38" spans="1:4" ht="21" customHeight="1">
      <c r="A38" s="31">
        <v>29</v>
      </c>
      <c r="B38" s="142" t="s">
        <v>367</v>
      </c>
      <c r="C38" s="141">
        <v>0.1</v>
      </c>
      <c r="D38" s="32"/>
    </row>
    <row r="39" spans="1:4" ht="18">
      <c r="A39" s="31">
        <v>30</v>
      </c>
      <c r="B39" s="142" t="s">
        <v>45</v>
      </c>
      <c r="C39" s="141">
        <v>0.06</v>
      </c>
      <c r="D39" s="32"/>
    </row>
    <row r="40" spans="1:4" ht="36">
      <c r="A40" s="31">
        <v>31</v>
      </c>
      <c r="B40" s="142" t="s">
        <v>52</v>
      </c>
      <c r="C40" s="141">
        <v>0.17</v>
      </c>
      <c r="D40" s="32"/>
    </row>
    <row r="41" spans="1:4" ht="20.399999999999999" customHeight="1">
      <c r="A41" s="31">
        <v>32</v>
      </c>
      <c r="B41" s="142" t="s">
        <v>23</v>
      </c>
      <c r="C41" s="141">
        <v>0.1</v>
      </c>
      <c r="D41" s="32"/>
    </row>
    <row r="42" spans="1:4" ht="18">
      <c r="A42" s="31">
        <v>33</v>
      </c>
      <c r="B42" s="142" t="s">
        <v>24</v>
      </c>
      <c r="C42" s="141">
        <v>0.09</v>
      </c>
      <c r="D42" s="32"/>
    </row>
    <row r="43" spans="1:4" ht="18">
      <c r="A43" s="31">
        <v>34</v>
      </c>
      <c r="B43" s="142" t="s">
        <v>368</v>
      </c>
      <c r="C43" s="141">
        <v>0.06</v>
      </c>
      <c r="D43" s="32"/>
    </row>
    <row r="44" spans="1:4" ht="18">
      <c r="A44" s="31">
        <v>35</v>
      </c>
      <c r="B44" s="142" t="s">
        <v>53</v>
      </c>
      <c r="C44" s="141">
        <v>0.09</v>
      </c>
      <c r="D44" s="32"/>
    </row>
    <row r="45" spans="1:4" ht="18">
      <c r="A45" s="31">
        <v>36</v>
      </c>
      <c r="B45" s="142" t="s">
        <v>25</v>
      </c>
      <c r="C45" s="141">
        <v>0.1</v>
      </c>
      <c r="D45" s="32"/>
    </row>
    <row r="46" spans="1:4" ht="40.5" hidden="1" customHeight="1">
      <c r="A46" s="33" t="s">
        <v>26</v>
      </c>
      <c r="B46" s="27" t="s">
        <v>42</v>
      </c>
      <c r="C46" s="140">
        <v>0.13</v>
      </c>
      <c r="D46" s="32"/>
    </row>
    <row r="47" spans="1:4" ht="54">
      <c r="A47" s="31">
        <v>37</v>
      </c>
      <c r="B47" s="142" t="s">
        <v>369</v>
      </c>
      <c r="C47" s="141">
        <v>0.22</v>
      </c>
      <c r="D47" s="32"/>
    </row>
    <row r="48" spans="1:4" ht="54">
      <c r="A48" s="31">
        <v>38</v>
      </c>
      <c r="B48" s="142" t="s">
        <v>370</v>
      </c>
      <c r="C48" s="141">
        <v>0.22</v>
      </c>
      <c r="D48" s="32"/>
    </row>
    <row r="49" spans="1:4" ht="36">
      <c r="A49" s="31">
        <v>39</v>
      </c>
      <c r="B49" s="142" t="s">
        <v>54</v>
      </c>
      <c r="C49" s="141">
        <v>0.12</v>
      </c>
      <c r="D49" s="32"/>
    </row>
    <row r="50" spans="1:4" ht="36">
      <c r="A50" s="31">
        <v>40</v>
      </c>
      <c r="B50" s="142" t="s">
        <v>27</v>
      </c>
      <c r="C50" s="141">
        <v>0.13</v>
      </c>
      <c r="D50" s="32"/>
    </row>
    <row r="51" spans="1:4" ht="18">
      <c r="A51" s="31">
        <v>41</v>
      </c>
      <c r="B51" s="142" t="s">
        <v>28</v>
      </c>
      <c r="C51" s="141">
        <v>0.14000000000000001</v>
      </c>
      <c r="D51" s="32"/>
    </row>
    <row r="52" spans="1:4" ht="36">
      <c r="A52" s="31">
        <v>42</v>
      </c>
      <c r="B52" s="142" t="s">
        <v>371</v>
      </c>
      <c r="C52" s="141">
        <v>0.17</v>
      </c>
      <c r="D52" s="32"/>
    </row>
    <row r="53" spans="1:4" hidden="1">
      <c r="A53" s="33" t="s">
        <v>29</v>
      </c>
      <c r="B53" s="27" t="s">
        <v>30</v>
      </c>
      <c r="C53" s="140">
        <v>0.09</v>
      </c>
      <c r="D53" s="32"/>
    </row>
    <row r="54" spans="1:4" ht="18">
      <c r="A54" s="31">
        <v>43</v>
      </c>
      <c r="B54" s="142" t="s">
        <v>55</v>
      </c>
      <c r="C54" s="141">
        <v>0.3</v>
      </c>
      <c r="D54" s="32"/>
    </row>
    <row r="55" spans="1:4" ht="18">
      <c r="A55" s="31">
        <v>44</v>
      </c>
      <c r="B55" s="142" t="s">
        <v>41</v>
      </c>
      <c r="C55" s="141">
        <v>0.2</v>
      </c>
      <c r="D55" s="32"/>
    </row>
    <row r="56" spans="1:4" ht="36">
      <c r="A56" s="31">
        <v>45</v>
      </c>
      <c r="B56" s="142" t="s">
        <v>46</v>
      </c>
      <c r="C56" s="141">
        <v>0.15</v>
      </c>
      <c r="D56" s="32"/>
    </row>
    <row r="57" spans="1:4" ht="18.75" customHeight="1">
      <c r="A57" s="31">
        <v>46</v>
      </c>
      <c r="B57" s="142" t="s">
        <v>31</v>
      </c>
      <c r="C57" s="141">
        <v>0.25</v>
      </c>
      <c r="D57" s="32"/>
    </row>
    <row r="58" spans="1:4" ht="18">
      <c r="A58" s="31">
        <v>47</v>
      </c>
      <c r="B58" s="142" t="s">
        <v>56</v>
      </c>
      <c r="C58" s="141">
        <v>0.1</v>
      </c>
      <c r="D58" s="32"/>
    </row>
    <row r="59" spans="1:4" hidden="1">
      <c r="A59" s="33" t="s">
        <v>32</v>
      </c>
      <c r="B59" s="27" t="s">
        <v>57</v>
      </c>
      <c r="C59" s="140">
        <v>0.11</v>
      </c>
      <c r="D59" s="32"/>
    </row>
    <row r="60" spans="1:4" ht="36">
      <c r="A60" s="31">
        <v>48</v>
      </c>
      <c r="B60" s="142" t="s">
        <v>33</v>
      </c>
      <c r="C60" s="141">
        <v>0.25</v>
      </c>
      <c r="D60" s="32"/>
    </row>
    <row r="61" spans="1:4" ht="36">
      <c r="A61" s="31">
        <v>49</v>
      </c>
      <c r="B61" s="142" t="s">
        <v>34</v>
      </c>
      <c r="C61" s="141">
        <v>0.55000000000000004</v>
      </c>
      <c r="D61" s="32"/>
    </row>
    <row r="62" spans="1:4" ht="18">
      <c r="A62" s="31">
        <v>50</v>
      </c>
      <c r="B62" s="142" t="s">
        <v>349</v>
      </c>
      <c r="C62" s="141">
        <v>0.2</v>
      </c>
      <c r="D62" s="32"/>
    </row>
    <row r="63" spans="1:4" hidden="1">
      <c r="A63" s="33" t="s">
        <v>35</v>
      </c>
      <c r="B63" s="33" t="s">
        <v>38</v>
      </c>
      <c r="C63" s="140">
        <v>7.0000000000000007E-2</v>
      </c>
      <c r="D63" s="32"/>
    </row>
    <row r="64" spans="1:4" ht="72">
      <c r="A64" s="31">
        <v>51</v>
      </c>
      <c r="B64" s="143" t="s">
        <v>58</v>
      </c>
      <c r="C64" s="141">
        <v>0.3</v>
      </c>
      <c r="D64" s="32"/>
    </row>
    <row r="65" spans="1:7" ht="36">
      <c r="A65" s="31">
        <v>52</v>
      </c>
      <c r="B65" s="143" t="s">
        <v>59</v>
      </c>
      <c r="C65" s="141">
        <v>0.27</v>
      </c>
      <c r="D65" s="32"/>
    </row>
    <row r="66" spans="1:7" ht="18">
      <c r="A66" s="31">
        <v>53</v>
      </c>
      <c r="B66" s="143" t="s">
        <v>60</v>
      </c>
      <c r="C66" s="141">
        <v>0.32</v>
      </c>
      <c r="D66" s="32"/>
    </row>
    <row r="67" spans="1:7" ht="18">
      <c r="A67" s="31">
        <v>54</v>
      </c>
      <c r="B67" s="143" t="s">
        <v>61</v>
      </c>
      <c r="C67" s="141">
        <v>0.11</v>
      </c>
      <c r="D67" s="32"/>
    </row>
    <row r="68" spans="1:7" ht="36">
      <c r="A68" s="31">
        <v>55</v>
      </c>
      <c r="B68" s="143" t="s">
        <v>36</v>
      </c>
      <c r="C68" s="141">
        <v>1.1100000000000001</v>
      </c>
      <c r="D68" s="32"/>
    </row>
    <row r="69" spans="1:7" ht="6.75" customHeight="1">
      <c r="A69" s="25"/>
      <c r="B69" s="26"/>
      <c r="C69" s="25"/>
      <c r="D69" s="26"/>
    </row>
    <row r="70" spans="1:7" s="36" customFormat="1">
      <c r="A70" s="163" t="s">
        <v>37</v>
      </c>
      <c r="B70" s="163"/>
      <c r="C70" s="35"/>
    </row>
    <row r="71" spans="1:7" s="36" customFormat="1">
      <c r="A71" s="164" t="s">
        <v>372</v>
      </c>
      <c r="B71" s="164"/>
      <c r="C71" s="164"/>
    </row>
    <row r="72" spans="1:7" s="36" customFormat="1">
      <c r="A72" s="164" t="s">
        <v>374</v>
      </c>
      <c r="B72" s="164"/>
      <c r="C72" s="164"/>
    </row>
    <row r="73" spans="1:7" s="36" customFormat="1">
      <c r="A73" s="164" t="s">
        <v>375</v>
      </c>
      <c r="B73" s="164"/>
      <c r="C73" s="164"/>
    </row>
    <row r="74" spans="1:7" s="36" customFormat="1">
      <c r="A74" s="164" t="s">
        <v>373</v>
      </c>
      <c r="B74" s="164"/>
      <c r="C74" s="164"/>
    </row>
    <row r="75" spans="1:7" s="36" customFormat="1">
      <c r="A75" s="164" t="s">
        <v>376</v>
      </c>
      <c r="B75" s="164"/>
      <c r="C75" s="164"/>
    </row>
    <row r="76" spans="1:7" s="36" customFormat="1">
      <c r="A76" s="37"/>
      <c r="B76" s="38"/>
      <c r="C76" s="35"/>
    </row>
    <row r="77" spans="1:7" s="40" customFormat="1">
      <c r="A77" s="165" t="s">
        <v>377</v>
      </c>
      <c r="B77" s="165"/>
      <c r="C77" s="165"/>
      <c r="D77" s="39"/>
      <c r="E77" s="39"/>
      <c r="F77" s="39"/>
      <c r="G77" s="39"/>
    </row>
    <row r="82" spans="1:6" hidden="1"/>
    <row r="83" spans="1:6" hidden="1">
      <c r="B83" s="41" t="str">
        <f>B7</f>
        <v>Система управління ЗПО</v>
      </c>
      <c r="C83" s="42"/>
      <c r="D83" s="43"/>
      <c r="E83" s="43"/>
      <c r="F83" s="44">
        <v>0.21</v>
      </c>
    </row>
    <row r="84" spans="1:6" hidden="1">
      <c r="B84" s="45" t="str">
        <f>B17</f>
        <v>Організація освітнього процесу в ЗПО</v>
      </c>
      <c r="C84" s="46"/>
      <c r="D84" s="47"/>
      <c r="E84" s="47"/>
      <c r="F84" s="48">
        <v>0.25</v>
      </c>
    </row>
    <row r="85" spans="1:6" hidden="1">
      <c r="B85" s="45" t="str">
        <f>B35</f>
        <v>Робота з педагогічними кадрами</v>
      </c>
      <c r="C85" s="46"/>
      <c r="D85" s="47"/>
      <c r="E85" s="47"/>
      <c r="F85" s="48">
        <v>0.14000000000000001</v>
      </c>
    </row>
    <row r="86" spans="1:6" hidden="1">
      <c r="B86" s="45" t="str">
        <f>B46</f>
        <v xml:space="preserve">Розвиток матеріально-технічної бази закладу, раціональність її використання
</v>
      </c>
      <c r="C86" s="46"/>
      <c r="D86" s="47"/>
      <c r="E86" s="47"/>
      <c r="F86" s="48">
        <v>0.13</v>
      </c>
    </row>
    <row r="87" spans="1:6" hidden="1">
      <c r="A87" s="11"/>
      <c r="B87" s="45" t="str">
        <f>B53</f>
        <v>Робота в системі «Заклад – сім’я – соціальне середовище»</v>
      </c>
      <c r="C87" s="46"/>
      <c r="D87" s="47"/>
      <c r="E87" s="47"/>
      <c r="F87" s="48">
        <v>0.09</v>
      </c>
    </row>
    <row r="88" spans="1:6" hidden="1">
      <c r="A88" s="11"/>
      <c r="B88" s="45" t="str">
        <f>B59</f>
        <v>Забезпечення безпечного освітнього середовища закладу</v>
      </c>
      <c r="C88" s="46"/>
      <c r="D88" s="47"/>
      <c r="E88" s="47"/>
      <c r="F88" s="48">
        <v>0.11</v>
      </c>
    </row>
    <row r="89" spans="1:6" hidden="1">
      <c r="A89" s="11"/>
      <c r="B89" s="49" t="str">
        <f>B63</f>
        <v>Піар-менеджмент</v>
      </c>
      <c r="C89" s="50"/>
      <c r="D89" s="51"/>
      <c r="E89" s="51"/>
      <c r="F89" s="52">
        <v>7.0000000000000007E-2</v>
      </c>
    </row>
    <row r="90" spans="1:6" hidden="1">
      <c r="A90" s="11"/>
      <c r="F90" s="28">
        <f>SUM(F83:F89)</f>
        <v>1</v>
      </c>
    </row>
  </sheetData>
  <sheetProtection password="CC43" sheet="1" objects="1" scenarios="1"/>
  <mergeCells count="10">
    <mergeCell ref="A72:C72"/>
    <mergeCell ref="A73:C73"/>
    <mergeCell ref="A74:C74"/>
    <mergeCell ref="A75:C75"/>
    <mergeCell ref="A77:C77"/>
    <mergeCell ref="A1:D1"/>
    <mergeCell ref="A2:D2"/>
    <mergeCell ref="A3:D3"/>
    <mergeCell ref="A70:B70"/>
    <mergeCell ref="A71:C71"/>
  </mergeCells>
  <pageMargins left="0.7" right="0.51" top="0.61" bottom="0.62" header="0.3" footer="0.3"/>
  <pageSetup paperSize="9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L94"/>
  <sheetViews>
    <sheetView workbookViewId="0">
      <selection sqref="A1:I1"/>
    </sheetView>
  </sheetViews>
  <sheetFormatPr defaultColWidth="9.109375" defaultRowHeight="18"/>
  <cols>
    <col min="1" max="1" width="4.6640625" style="25" customWidth="1"/>
    <col min="2" max="2" width="37.33203125" style="25" customWidth="1"/>
    <col min="3" max="3" width="21.6640625" style="26" customWidth="1"/>
    <col min="4" max="4" width="7.44140625" style="81" hidden="1" customWidth="1"/>
    <col min="5" max="7" width="4.33203125" style="81" customWidth="1"/>
    <col min="8" max="8" width="5.6640625" style="81" hidden="1" customWidth="1"/>
    <col min="9" max="9" width="10.5546875" style="81" bestFit="1" customWidth="1"/>
    <col min="10" max="10" width="10.5546875" style="81" hidden="1" customWidth="1"/>
    <col min="11" max="11" width="7.5546875" style="81" hidden="1" customWidth="1"/>
    <col min="12" max="12" width="9.109375" style="9" hidden="1" customWidth="1"/>
    <col min="13" max="13" width="25.109375" style="93" hidden="1" customWidth="1"/>
    <col min="14" max="14" width="19.33203125" style="93" hidden="1" customWidth="1"/>
    <col min="15" max="15" width="19.44140625" style="93" hidden="1" customWidth="1"/>
    <col min="16" max="16" width="21.88671875" style="93" hidden="1" customWidth="1"/>
    <col min="17" max="17" width="9.109375" style="93" hidden="1" customWidth="1"/>
    <col min="18" max="18" width="9.109375" style="20" hidden="1" customWidth="1"/>
    <col min="19" max="20" width="7.109375" style="19" hidden="1" customWidth="1"/>
    <col min="21" max="21" width="2.6640625" style="19" hidden="1" customWidth="1"/>
    <col min="22" max="23" width="7.109375" style="19" hidden="1" customWidth="1"/>
    <col min="24" max="24" width="5.5546875" style="20" hidden="1" customWidth="1"/>
    <col min="25" max="25" width="19.109375" style="19" hidden="1" customWidth="1"/>
    <col min="26" max="26" width="26.33203125" style="19" hidden="1" customWidth="1"/>
    <col min="27" max="28" width="15.6640625" style="19" hidden="1" customWidth="1"/>
    <col min="29" max="29" width="11.88671875" style="19" hidden="1" customWidth="1"/>
    <col min="30" max="30" width="25.109375" style="19" hidden="1" customWidth="1"/>
    <col min="31" max="34" width="34" style="19" hidden="1" customWidth="1"/>
    <col min="35" max="35" width="11.88671875" style="94" hidden="1" customWidth="1"/>
    <col min="36" max="45" width="45.33203125" style="94" hidden="1" customWidth="1"/>
    <col min="46" max="46" width="56.5546875" style="19" hidden="1" customWidth="1"/>
    <col min="47" max="47" width="5.6640625" style="20" hidden="1" customWidth="1"/>
    <col min="48" max="48" width="37" style="20" hidden="1" customWidth="1"/>
    <col min="49" max="49" width="32.88671875" style="20" hidden="1" customWidth="1"/>
    <col min="50" max="50" width="26.44140625" style="20" hidden="1" customWidth="1"/>
    <col min="51" max="51" width="27.6640625" style="20" hidden="1" customWidth="1"/>
    <col min="52" max="52" width="33.33203125" style="20" hidden="1" customWidth="1"/>
    <col min="53" max="53" width="3" style="20" hidden="1" customWidth="1"/>
    <col min="54" max="54" width="30.6640625" style="20" hidden="1" customWidth="1"/>
    <col min="55" max="55" width="30.33203125" style="20" hidden="1" customWidth="1"/>
    <col min="56" max="56" width="29" style="20" hidden="1" customWidth="1"/>
    <col min="57" max="57" width="27.44140625" style="20" hidden="1" customWidth="1"/>
    <col min="58" max="58" width="49" style="20" hidden="1" customWidth="1"/>
    <col min="59" max="59" width="3.5546875" style="20" hidden="1" customWidth="1"/>
    <col min="60" max="60" width="50.6640625" style="20" hidden="1" customWidth="1"/>
    <col min="61" max="61" width="44.5546875" style="20" hidden="1" customWidth="1"/>
    <col min="62" max="62" width="44.88671875" style="20" hidden="1" customWidth="1"/>
    <col min="63" max="63" width="26.109375" style="20" hidden="1" customWidth="1"/>
    <col min="64" max="64" width="18.6640625" style="20" hidden="1" customWidth="1"/>
    <col min="65" max="16384" width="9.109375" style="20"/>
  </cols>
  <sheetData>
    <row r="1" spans="1:64">
      <c r="A1" s="163" t="s">
        <v>272</v>
      </c>
      <c r="B1" s="163"/>
      <c r="C1" s="163"/>
      <c r="D1" s="163"/>
      <c r="E1" s="163"/>
      <c r="F1" s="163"/>
      <c r="G1" s="163"/>
      <c r="H1" s="163"/>
      <c r="I1" s="163"/>
    </row>
    <row r="2" spans="1:64">
      <c r="A2" s="163" t="s">
        <v>259</v>
      </c>
      <c r="B2" s="163"/>
      <c r="C2" s="163"/>
      <c r="D2" s="163"/>
      <c r="E2" s="163"/>
      <c r="F2" s="163"/>
      <c r="G2" s="163"/>
      <c r="H2" s="163"/>
      <c r="I2" s="163"/>
    </row>
    <row r="3" spans="1:64" hidden="1">
      <c r="A3" s="163"/>
      <c r="B3" s="163"/>
      <c r="C3" s="163"/>
      <c r="D3" s="163"/>
      <c r="E3" s="163"/>
      <c r="F3" s="80"/>
      <c r="G3" s="80"/>
      <c r="H3" s="80"/>
    </row>
    <row r="4" spans="1:64" ht="36.75" customHeight="1">
      <c r="A4" s="169" t="str">
        <f>IF(Бланк!A3="","",Бланк!A3)</f>
        <v>назва ЗПО</v>
      </c>
      <c r="B4" s="169"/>
      <c r="C4" s="169"/>
      <c r="D4" s="169"/>
      <c r="E4" s="169"/>
      <c r="F4" s="169"/>
      <c r="G4" s="169"/>
      <c r="H4" s="169"/>
      <c r="I4" s="169"/>
      <c r="M4" s="93">
        <v>4</v>
      </c>
    </row>
    <row r="5" spans="1:64" ht="17.25" customHeight="1">
      <c r="A5" s="178" t="s">
        <v>262</v>
      </c>
      <c r="B5" s="178"/>
      <c r="C5" s="178"/>
      <c r="D5" s="178"/>
      <c r="E5" s="178"/>
      <c r="F5" s="178"/>
      <c r="G5" s="178"/>
      <c r="H5" s="178"/>
      <c r="I5" s="178"/>
      <c r="M5" s="93">
        <v>3</v>
      </c>
    </row>
    <row r="6" spans="1:64" ht="17.25" customHeight="1">
      <c r="A6" s="186" t="s">
        <v>263</v>
      </c>
      <c r="B6" s="186"/>
      <c r="C6" s="95">
        <f>I13+I23+I41+I52+I59+I65+I69</f>
        <v>0.7618666666666668</v>
      </c>
      <c r="D6" s="83"/>
      <c r="E6" s="83"/>
      <c r="F6" s="83"/>
      <c r="G6" s="83"/>
      <c r="H6" s="83"/>
      <c r="I6" s="83"/>
      <c r="M6" s="93">
        <v>2</v>
      </c>
    </row>
    <row r="7" spans="1:64">
      <c r="A7" s="186" t="s">
        <v>268</v>
      </c>
      <c r="B7" s="186"/>
      <c r="C7" s="187" t="str">
        <f>IF(C6&lt;0.26,"К р и т и ч н и й",IF(C6&lt;0.51,"Н и з ь к и й",IF(C6&lt;0.76,"С е р е д н і й",IF(C6&lt;0.88,"В и с о к и й","О п т и м а л ь н и й"))))</f>
        <v>В и с о к и й</v>
      </c>
      <c r="D7" s="187"/>
      <c r="E7" s="187"/>
      <c r="F7" s="187"/>
      <c r="G7" s="187"/>
      <c r="H7" s="187"/>
      <c r="I7" s="187"/>
      <c r="M7" s="93">
        <v>1</v>
      </c>
    </row>
    <row r="8" spans="1:64" ht="7.5" customHeight="1">
      <c r="M8" s="93">
        <v>0</v>
      </c>
    </row>
    <row r="9" spans="1:64" s="19" customFormat="1" ht="34.5" customHeight="1">
      <c r="A9" s="179" t="s">
        <v>0</v>
      </c>
      <c r="B9" s="188" t="s">
        <v>1</v>
      </c>
      <c r="C9" s="189"/>
      <c r="D9" s="27" t="s">
        <v>43</v>
      </c>
      <c r="E9" s="173" t="s">
        <v>2</v>
      </c>
      <c r="F9" s="174"/>
      <c r="G9" s="174"/>
      <c r="H9" s="175"/>
      <c r="I9" s="179" t="s">
        <v>253</v>
      </c>
      <c r="J9" s="96"/>
      <c r="K9" s="96"/>
      <c r="L9" s="9"/>
      <c r="M9" s="93"/>
      <c r="N9" s="93"/>
      <c r="O9" s="93"/>
      <c r="P9" s="93"/>
      <c r="Q9" s="93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</row>
    <row r="10" spans="1:64" s="19" customFormat="1">
      <c r="A10" s="180"/>
      <c r="B10" s="190"/>
      <c r="C10" s="191"/>
      <c r="D10" s="27"/>
      <c r="E10" s="170" t="s">
        <v>260</v>
      </c>
      <c r="F10" s="171"/>
      <c r="G10" s="172"/>
      <c r="H10" s="176" t="s">
        <v>261</v>
      </c>
      <c r="I10" s="180"/>
      <c r="J10" s="96"/>
      <c r="K10" s="96"/>
      <c r="L10" s="9"/>
      <c r="M10" s="93"/>
      <c r="N10" s="93"/>
      <c r="O10" s="93"/>
      <c r="P10" s="93"/>
      <c r="Q10" s="93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</row>
    <row r="11" spans="1:64" s="19" customFormat="1">
      <c r="A11" s="181"/>
      <c r="B11" s="192"/>
      <c r="C11" s="193"/>
      <c r="D11" s="27"/>
      <c r="E11" s="29">
        <v>1</v>
      </c>
      <c r="F11" s="29">
        <v>2</v>
      </c>
      <c r="G11" s="29">
        <v>3</v>
      </c>
      <c r="H11" s="177"/>
      <c r="I11" s="181"/>
      <c r="J11" s="97"/>
      <c r="K11" s="97"/>
      <c r="L11" s="9"/>
      <c r="M11" s="93"/>
      <c r="N11" s="93"/>
      <c r="O11" s="93"/>
      <c r="P11" s="93"/>
      <c r="Q11" s="93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</row>
    <row r="12" spans="1:64" s="19" customFormat="1" hidden="1">
      <c r="A12" s="27"/>
      <c r="B12" s="27"/>
      <c r="C12" s="27"/>
      <c r="D12" s="98"/>
      <c r="E12" s="29"/>
      <c r="F12" s="29"/>
      <c r="G12" s="29"/>
      <c r="H12" s="29"/>
      <c r="J12" s="99"/>
      <c r="K12" s="99"/>
      <c r="L12" s="9"/>
      <c r="M12" s="93"/>
      <c r="N12" s="93"/>
      <c r="O12" s="93"/>
      <c r="P12" s="93"/>
      <c r="Q12" s="93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</row>
    <row r="13" spans="1:64" s="82" customFormat="1" ht="17.399999999999999">
      <c r="A13" s="27" t="s">
        <v>3</v>
      </c>
      <c r="B13" s="173" t="str">
        <f>Бланк!B7</f>
        <v>Система управління ЗПО</v>
      </c>
      <c r="C13" s="175"/>
      <c r="D13" s="27">
        <v>0.21</v>
      </c>
      <c r="E13" s="29"/>
      <c r="F13" s="29"/>
      <c r="G13" s="29"/>
      <c r="H13" s="29"/>
      <c r="I13" s="100">
        <f>L13*D13</f>
        <v>0.174125</v>
      </c>
      <c r="J13" s="101"/>
      <c r="K13" s="101"/>
      <c r="L13" s="102">
        <f>SUM(I14:I22)</f>
        <v>0.82916666666666672</v>
      </c>
      <c r="M13" s="103">
        <v>4</v>
      </c>
      <c r="N13" s="103">
        <v>3</v>
      </c>
      <c r="O13" s="103">
        <v>2</v>
      </c>
      <c r="P13" s="104">
        <v>1</v>
      </c>
      <c r="Q13" s="103">
        <v>0</v>
      </c>
      <c r="S13" s="82">
        <v>4</v>
      </c>
      <c r="T13" s="82">
        <v>3</v>
      </c>
      <c r="U13" s="82">
        <v>2</v>
      </c>
      <c r="V13" s="82">
        <v>1</v>
      </c>
      <c r="W13" s="82">
        <v>0</v>
      </c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V13" s="82">
        <v>4</v>
      </c>
      <c r="AW13" s="82">
        <v>3</v>
      </c>
      <c r="AX13" s="82">
        <v>2</v>
      </c>
      <c r="AY13" s="82">
        <v>1</v>
      </c>
      <c r="AZ13" s="82">
        <v>0</v>
      </c>
      <c r="BB13" s="82">
        <v>4</v>
      </c>
      <c r="BC13" s="82">
        <v>3</v>
      </c>
      <c r="BD13" s="82">
        <v>2</v>
      </c>
      <c r="BE13" s="82">
        <v>1</v>
      </c>
      <c r="BF13" s="82">
        <v>0</v>
      </c>
      <c r="BH13" s="82">
        <v>4</v>
      </c>
      <c r="BI13" s="82">
        <v>3</v>
      </c>
      <c r="BJ13" s="82">
        <v>2</v>
      </c>
      <c r="BK13" s="82">
        <v>1</v>
      </c>
      <c r="BL13" s="82">
        <v>0</v>
      </c>
    </row>
    <row r="14" spans="1:64" ht="18" customHeight="1">
      <c r="A14" s="31">
        <v>1</v>
      </c>
      <c r="B14" s="182" t="str">
        <f>Бланк!B8</f>
        <v>Відповідність статуту закладу його місії та візії</v>
      </c>
      <c r="C14" s="183"/>
      <c r="D14" s="106">
        <f>Бланк!C8</f>
        <v>0.1</v>
      </c>
      <c r="E14" s="198">
        <v>4</v>
      </c>
      <c r="F14" s="198">
        <v>4</v>
      </c>
      <c r="G14" s="198">
        <v>4</v>
      </c>
      <c r="H14" s="107">
        <f>IF(E14="","",AVERAGE(E14:G14))</f>
        <v>4</v>
      </c>
      <c r="I14" s="98">
        <f>IF(E14="","",H14*D14/4)</f>
        <v>0.1</v>
      </c>
      <c r="J14" s="108">
        <f>H14</f>
        <v>4</v>
      </c>
      <c r="K14" s="109">
        <f>AVERAGE(H14:H22)</f>
        <v>3.333333333333333</v>
      </c>
      <c r="L14" s="110">
        <v>1</v>
      </c>
      <c r="M14" s="111" t="str">
        <f t="shared" ref="M14:M74" si="0">IF(H14&gt;3.5,AT14,"")</f>
        <v xml:space="preserve">Статут. </v>
      </c>
      <c r="N14" s="111" t="str">
        <f>IF(H14&gt;3.5,"",IF(H14&gt;2.5,AT14,IF(H14&lt;2.5,"","")))</f>
        <v/>
      </c>
      <c r="O14" s="111"/>
      <c r="P14" s="111" t="str">
        <f>IF(H14&gt;1.5,"",IF(H14&gt;0.5,AT14,""))</f>
        <v/>
      </c>
      <c r="Q14" s="111" t="str">
        <f>IF(H14&lt;0.5,AT14,"")</f>
        <v/>
      </c>
      <c r="S14" s="112" t="str">
        <f>IF(M14="","","К1  ")</f>
        <v xml:space="preserve">К1  </v>
      </c>
      <c r="T14" s="112" t="str">
        <f>IF(N14="","","К1  ")</f>
        <v/>
      </c>
      <c r="U14" s="112" t="str">
        <f>IF(O14="","","К1  ")</f>
        <v/>
      </c>
      <c r="V14" s="112" t="str">
        <f>IF(P14="","","К1  ")</f>
        <v/>
      </c>
      <c r="W14" s="112" t="str">
        <f>IF(Q14="","","К1  ")</f>
        <v/>
      </c>
      <c r="Y14" s="113" t="str">
        <f>CONCATENATE(S14,S15,S16,S17,S18 )</f>
        <v xml:space="preserve">К1  К3  </v>
      </c>
      <c r="Z14" s="113" t="str">
        <f>CONCATENATE(T14,T15,T16,T17,T18 )</f>
        <v xml:space="preserve">К2  К4  К5  </v>
      </c>
      <c r="AA14" s="113" t="str">
        <f>CONCATENATE(U14,U15,U16,U17,U18 )</f>
        <v/>
      </c>
      <c r="AB14" s="113" t="str">
        <f>CONCATENATE(V14,V15,V16,V17,V18 )</f>
        <v/>
      </c>
      <c r="AC14" s="113" t="str">
        <f>CONCATENATE(W14,W15,W16,W17,W18 )</f>
        <v/>
      </c>
      <c r="AD14" s="114" t="str">
        <f>CONCATENATE(Y14,Y15)</f>
        <v xml:space="preserve">К1  К3  </v>
      </c>
      <c r="AE14" s="114" t="str">
        <f>CONCATENATE(Z14,Z15)</f>
        <v xml:space="preserve">К2  К4  К5  К6  К7  К8  К9  </v>
      </c>
      <c r="AF14" s="114" t="str">
        <f>CONCATENATE(AA14,AA15)</f>
        <v/>
      </c>
      <c r="AG14" s="114" t="str">
        <f>CONCATENATE(AB14,AB15)</f>
        <v/>
      </c>
      <c r="AH14" s="114" t="str">
        <f>CONCATENATE(AC14,AC15)</f>
        <v/>
      </c>
      <c r="AI14" s="115" t="s">
        <v>63</v>
      </c>
      <c r="AJ14" s="116" t="str">
        <f>CONCATENATE(AD14,AD24,AD42,AD53,AD60)</f>
        <v xml:space="preserve">К1  К3  К16  К17  К22  </v>
      </c>
      <c r="AK14" s="116" t="str">
        <f t="shared" ref="AK14:AL14" si="1">CONCATENATE(AE14,AE24,AE42,AE53,AE60)</f>
        <v xml:space="preserve">К2  К4  К5  К6  К7  К8  К9  К10  К11  К12  К13  К14  К15  К18  К19  К21  К23  К25  К27  К28  К29  К30  К31  К32  К33  К35  К36  К37  К38  К40  К44  К47  </v>
      </c>
      <c r="AL14" s="116" t="str">
        <f t="shared" si="1"/>
        <v/>
      </c>
      <c r="AM14" s="116" t="str">
        <f t="shared" ref="AM14" si="2">CONCATENATE(AG14,AG24,AG42,AG53,AG60)</f>
        <v xml:space="preserve">К24  К45  К46  </v>
      </c>
      <c r="AN14" s="116" t="str">
        <f t="shared" ref="AN14" si="3">CONCATENATE(AH14,AH24,AH42,AH53,AH60)</f>
        <v/>
      </c>
      <c r="AO14" s="117" t="str">
        <f>CONCATENATE(AJ14,AJ15)</f>
        <v xml:space="preserve">К1  К3  К16  К17  К22  К48  К49  К50  К54  </v>
      </c>
      <c r="AP14" s="117" t="str">
        <f>CONCATENATE(AK14,AK15)</f>
        <v>К2  К4  К5  К6  К7  К8  К9  К10  К11  К12  К13  К14  К15  К18  К19  К21  К23  К25  К27  К28  К29  К30  К31  К32  К33  К35  К36  К37  К38  К40  К44  К47  К51  К52  К53  К55</v>
      </c>
      <c r="AQ14" s="117" t="str">
        <f>CONCATENATE(AL14,AL15)</f>
        <v/>
      </c>
      <c r="AR14" s="117" t="str">
        <f>CONCATENATE(AM14,AM15)</f>
        <v xml:space="preserve">К24  К45  К46  </v>
      </c>
      <c r="AS14" s="117" t="str">
        <f>CONCATENATE(AN14,AN15)</f>
        <v/>
      </c>
      <c r="AT14" s="76" t="s">
        <v>76</v>
      </c>
      <c r="AU14" s="20">
        <v>1</v>
      </c>
      <c r="AV14" s="118" t="str">
        <f>CONCATENATE(M14,M15,M16,M17,M18)</f>
        <v xml:space="preserve">Статут. Органи управління. </v>
      </c>
      <c r="AW14" s="118" t="str">
        <f t="shared" ref="AW14:AZ14" si="4">CONCATENATE(N14,N15,N16,N17,N18)</f>
        <v xml:space="preserve">План роботи. Структура ЗПО. Взаємодія підрозділів. </v>
      </c>
      <c r="AX14" s="118" t="str">
        <f t="shared" si="4"/>
        <v/>
      </c>
      <c r="AY14" s="118" t="str">
        <f t="shared" si="4"/>
        <v/>
      </c>
      <c r="AZ14" s="118" t="str">
        <f t="shared" si="4"/>
        <v/>
      </c>
      <c r="BB14" s="119" t="str">
        <f>CONCATENATE(AV14,AV15,AV16,AV17,AV18)</f>
        <v xml:space="preserve">Статут. Органи управління. Освітня програма. Навчальні програми. Результативність участі в заходах. </v>
      </c>
      <c r="BC14" s="119" t="str">
        <f t="shared" ref="BC14:BF14" si="5">CONCATENATE(AW14,AW15,AW16,AW17,AW18)</f>
        <v xml:space="preserve">План роботи. Структура ЗПО. Взаємодія підрозділів. Загальні збори. Педрада. Інформаційне забезпечення. Роботв зі стейкхолдерами. Комплектування гуртків. Динаміка контингенту. Гурткова робота. Індивідуальна робота. Дистанційна освіта. Інклюзія. Профілізація. Цифрові технології. Організація участі в заходах. Культурне дозвілля. Соціально-психологічний клімат. </v>
      </c>
      <c r="BD14" s="119" t="str">
        <f t="shared" si="5"/>
        <v/>
      </c>
      <c r="BE14" s="119" t="str">
        <f t="shared" si="5"/>
        <v xml:space="preserve">Учнівське самоврядування. </v>
      </c>
      <c r="BF14" s="119" t="str">
        <f t="shared" si="5"/>
        <v/>
      </c>
      <c r="BH14" s="120" t="str">
        <f>CONCATENATE(BB14,BB15,BB16)</f>
        <v xml:space="preserve">Статут. Органи управління. Освітня програма. Навчальні програми. Результативність участі в заходах. Режим роботи. Техніка безпеки. Санітарія. Репутація ЗПО. </v>
      </c>
      <c r="BI14" s="120" t="str">
        <f t="shared" ref="BI14:BL14" si="6">CONCATENATE(BC14,BC15,BC16)</f>
        <v xml:space="preserve">План роботи. Структура ЗПО. Взаємодія підрозділів. Загальні збори. Педрада. Інформаційне забезпечення. Роботв зі стейкхолдерами. Комплектування гуртків. Динаміка контингенту. Гурткова робота. Індивідуальна робота. Дистанційна освіта. Інклюзія. Профілізація. Цифрові технології. Організація участі в заходах. Культурне дозвілля. Соціально-психологічний клімат. Забезпеченість кадрами. Розподіл педкадрів. Стабільність педскладу. Робота з молодими спеціалістами. Методичний супровід. Мотиваційне середовище. Готовність до інновацій. Взаємодія з дітьми. Безперервна освіта педкадрів. Необхідні приміщення. Відповідність приміщень. Використання приміщень. Взаємодія з закладами освіти. Співпраця з ГО, БФ. Інфраструктурні умови. Інформаційна відкритість. Вебсайт. Естетичність ЗПО. </v>
      </c>
      <c r="BJ14" s="120" t="str">
        <f t="shared" si="6"/>
        <v/>
      </c>
      <c r="BK14" s="120" t="str">
        <f t="shared" si="6"/>
        <v xml:space="preserve">Учнівське самоврядування. Взаємодія з соцслужбами. Робота з дітьми соцкатегорій. </v>
      </c>
      <c r="BL14" s="120" t="str">
        <f t="shared" si="6"/>
        <v/>
      </c>
    </row>
    <row r="15" spans="1:64" ht="33" customHeight="1">
      <c r="A15" s="31">
        <v>2</v>
      </c>
      <c r="B15" s="182" t="str">
        <f>Бланк!B9</f>
        <v>Наявність дієвого плану роботи. Охоплення плануванням усіх напрямів роботи закладу</v>
      </c>
      <c r="C15" s="183"/>
      <c r="D15" s="106">
        <f>Бланк!C9</f>
        <v>0.14000000000000001</v>
      </c>
      <c r="E15" s="198">
        <v>3</v>
      </c>
      <c r="F15" s="198">
        <v>4</v>
      </c>
      <c r="G15" s="198">
        <v>3</v>
      </c>
      <c r="H15" s="107">
        <f t="shared" ref="H15:H22" si="7">IF(E15="","",AVERAGE(E15:G15))</f>
        <v>3.3333333333333335</v>
      </c>
      <c r="I15" s="98">
        <f t="shared" ref="I15:I22" si="8">IF(E15="","",H15*D15/4)</f>
        <v>0.11666666666666668</v>
      </c>
      <c r="J15" s="108">
        <f t="shared" ref="J15:J21" si="9">H15</f>
        <v>3.3333333333333335</v>
      </c>
      <c r="K15" s="99"/>
      <c r="L15" s="110">
        <v>2</v>
      </c>
      <c r="M15" s="111" t="str">
        <f t="shared" si="0"/>
        <v/>
      </c>
      <c r="N15" s="111" t="str">
        <f t="shared" ref="N15:N74" si="10">IF(H15&gt;3.5,"",IF(H15&gt;2.5,AT15,IF(H15&lt;2.5,"","")))</f>
        <v xml:space="preserve">План роботи. </v>
      </c>
      <c r="O15" s="111"/>
      <c r="P15" s="111" t="str">
        <f t="shared" ref="P15:P74" si="11">IF(H15&gt;1.5,"",IF(H15&gt;0.5,AT15,""))</f>
        <v/>
      </c>
      <c r="Q15" s="111" t="str">
        <f t="shared" ref="Q15:Q74" si="12">IF(H15&lt;0.5,AT15,"")</f>
        <v/>
      </c>
      <c r="S15" s="112" t="str">
        <f>IF(M15="","","К2  ")</f>
        <v/>
      </c>
      <c r="T15" s="112" t="str">
        <f>IF(N15="","","К2  ")</f>
        <v xml:space="preserve">К2  </v>
      </c>
      <c r="U15" s="112" t="str">
        <f>IF(O15="","","К2  ")</f>
        <v/>
      </c>
      <c r="V15" s="112" t="str">
        <f>IF(P15="","","К2  ")</f>
        <v/>
      </c>
      <c r="W15" s="112" t="str">
        <f>IF(Q15="","","К2  ")</f>
        <v/>
      </c>
      <c r="Y15" s="113" t="str">
        <f>CONCATENATE(S19,S20,S21,S22)</f>
        <v/>
      </c>
      <c r="Z15" s="113" t="str">
        <f>CONCATENATE(T19,T20,T21,T22)</f>
        <v xml:space="preserve">К6  К7  К8  К9  </v>
      </c>
      <c r="AA15" s="113" t="str">
        <f>CONCATENATE(U19,U20,U21,U22)</f>
        <v/>
      </c>
      <c r="AB15" s="113" t="str">
        <f>CONCATENATE(V19,V20,V21,V22)</f>
        <v/>
      </c>
      <c r="AC15" s="113" t="str">
        <f>CONCATENATE(W19,W20,W21,W22)</f>
        <v/>
      </c>
      <c r="AD15" s="121"/>
      <c r="AE15" s="121"/>
      <c r="AF15" s="121"/>
      <c r="AG15" s="121"/>
      <c r="AH15" s="121"/>
      <c r="AI15" s="115"/>
      <c r="AJ15" s="116" t="str">
        <f>CONCATENATE(AD66,AD70)</f>
        <v xml:space="preserve">К48  К49  К50  К54  </v>
      </c>
      <c r="AK15" s="116" t="str">
        <f t="shared" ref="AK15:AL15" si="13">CONCATENATE(AE66,AE70)</f>
        <v>К51  К52  К53  К55</v>
      </c>
      <c r="AL15" s="116" t="str">
        <f t="shared" si="13"/>
        <v/>
      </c>
      <c r="AM15" s="116" t="str">
        <f t="shared" ref="AM15" si="14">CONCATENATE(AG66,AG70)</f>
        <v/>
      </c>
      <c r="AN15" s="116" t="str">
        <f t="shared" ref="AN15" si="15">CONCATENATE(AH66,AH70)</f>
        <v/>
      </c>
      <c r="AO15" s="122"/>
      <c r="AP15" s="122"/>
      <c r="AQ15" s="115"/>
      <c r="AR15" s="115"/>
      <c r="AS15" s="115"/>
      <c r="AT15" s="76" t="s">
        <v>77</v>
      </c>
      <c r="AU15" s="20">
        <v>2</v>
      </c>
      <c r="AV15" s="118" t="str">
        <f>CONCATENATE(M19,M20,M21,M22,M24)</f>
        <v/>
      </c>
      <c r="AW15" s="118" t="str">
        <f t="shared" ref="AW15:AZ15" si="16">CONCATENATE(N19,N20,N21,N22,N24)</f>
        <v xml:space="preserve">Загальні збори. Педрада. Інформаційне забезпечення. Роботв зі стейкхолдерами. Комплектування гуртків. </v>
      </c>
      <c r="AX15" s="118" t="str">
        <f t="shared" si="16"/>
        <v/>
      </c>
      <c r="AY15" s="118" t="str">
        <f t="shared" si="16"/>
        <v/>
      </c>
      <c r="AZ15" s="118" t="str">
        <f t="shared" si="16"/>
        <v/>
      </c>
      <c r="BB15" s="119" t="str">
        <f>CONCATENATE(AV19,AV20,AV21,AV22)</f>
        <v/>
      </c>
      <c r="BC15" s="119" t="str">
        <f t="shared" ref="BC15:BF15" si="17">CONCATENATE(AW19,AW20,AW21,AW22)</f>
        <v xml:space="preserve">Забезпеченість кадрами. Розподіл педкадрів. Стабільність педскладу. Робота з молодими спеціалістами. Методичний супровід. Мотиваційне середовище. Готовність до інновацій. Взаємодія з дітьми. Безперервна освіта педкадрів. Необхідні приміщення. Відповідність приміщень. Використання приміщень. Взаємодія з закладами освіти. </v>
      </c>
      <c r="BD15" s="119" t="str">
        <f t="shared" si="17"/>
        <v/>
      </c>
      <c r="BE15" s="119" t="str">
        <f t="shared" si="17"/>
        <v xml:space="preserve">Взаємодія з соцслужбами. </v>
      </c>
      <c r="BF15" s="119" t="str">
        <f t="shared" si="17"/>
        <v/>
      </c>
    </row>
    <row r="16" spans="1:64" ht="19.5" customHeight="1">
      <c r="A16" s="31">
        <v>3</v>
      </c>
      <c r="B16" s="182" t="str">
        <f>Бланк!B10</f>
        <v>Наявність усіх органів управління закладом</v>
      </c>
      <c r="C16" s="183"/>
      <c r="D16" s="106">
        <f>Бланк!C10</f>
        <v>0.13</v>
      </c>
      <c r="E16" s="198">
        <v>3</v>
      </c>
      <c r="F16" s="198">
        <v>4</v>
      </c>
      <c r="G16" s="198">
        <v>4</v>
      </c>
      <c r="H16" s="107">
        <f t="shared" si="7"/>
        <v>3.6666666666666665</v>
      </c>
      <c r="I16" s="98">
        <f t="shared" si="8"/>
        <v>0.11916666666666667</v>
      </c>
      <c r="J16" s="108">
        <f t="shared" si="9"/>
        <v>3.6666666666666665</v>
      </c>
      <c r="K16" s="108"/>
      <c r="L16" s="110">
        <v>3</v>
      </c>
      <c r="M16" s="111" t="str">
        <f t="shared" si="0"/>
        <v xml:space="preserve">Органи управління. </v>
      </c>
      <c r="N16" s="111" t="str">
        <f t="shared" si="10"/>
        <v/>
      </c>
      <c r="O16" s="111"/>
      <c r="P16" s="111" t="str">
        <f t="shared" si="11"/>
        <v/>
      </c>
      <c r="Q16" s="111" t="str">
        <f t="shared" si="12"/>
        <v/>
      </c>
      <c r="S16" s="112" t="str">
        <f>IF(M16="","","К3  ")</f>
        <v xml:space="preserve">К3  </v>
      </c>
      <c r="T16" s="112" t="str">
        <f>IF(N16="","","К3  ")</f>
        <v/>
      </c>
      <c r="U16" s="112" t="str">
        <f>IF(O16="","","К3  ")</f>
        <v/>
      </c>
      <c r="V16" s="112" t="str">
        <f>IF(P16="","","К3  ")</f>
        <v/>
      </c>
      <c r="W16" s="112" t="str">
        <f>IF(Q16="","","К3  ")</f>
        <v/>
      </c>
      <c r="Y16" s="123"/>
      <c r="Z16" s="124"/>
      <c r="AA16" s="124"/>
      <c r="AB16" s="124"/>
      <c r="AC16" s="124"/>
      <c r="AD16" s="121"/>
      <c r="AE16" s="121"/>
      <c r="AF16" s="121"/>
      <c r="AG16" s="121"/>
      <c r="AH16" s="121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76" t="s">
        <v>78</v>
      </c>
      <c r="AU16" s="20">
        <v>3</v>
      </c>
      <c r="AV16" s="118" t="str">
        <f>CONCATENATE(M25,M26,M27,M28,M29)</f>
        <v/>
      </c>
      <c r="AW16" s="118" t="str">
        <f t="shared" ref="AW16:AZ16" si="18">CONCATENATE(N25,N26,N27,N28,N29)</f>
        <v xml:space="preserve">Динаміка контингенту. Гурткова робота. Індивідуальна робота. Дистанційна освіта. Інклюзія. </v>
      </c>
      <c r="AX16" s="118" t="str">
        <f t="shared" si="18"/>
        <v/>
      </c>
      <c r="AY16" s="118" t="str">
        <f t="shared" si="18"/>
        <v/>
      </c>
      <c r="AZ16" s="118" t="str">
        <f t="shared" si="18"/>
        <v/>
      </c>
      <c r="BB16" s="119" t="str">
        <f>CONCATENATE(AV23,AV24)</f>
        <v xml:space="preserve">Режим роботи. Техніка безпеки. Санітарія. Репутація ЗПО. </v>
      </c>
      <c r="BC16" s="119" t="str">
        <f t="shared" ref="BC16:BF16" si="19">CONCATENATE(AW23,AW24)</f>
        <v xml:space="preserve">Співпраця з ГО, БФ. Інфраструктурні умови. Інформаційна відкритість. Вебсайт. Естетичність ЗПО. </v>
      </c>
      <c r="BD16" s="119" t="str">
        <f t="shared" si="19"/>
        <v/>
      </c>
      <c r="BE16" s="119" t="str">
        <f t="shared" si="19"/>
        <v xml:space="preserve">Робота з дітьми соцкатегорій. </v>
      </c>
      <c r="BF16" s="119" t="str">
        <f t="shared" si="19"/>
        <v/>
      </c>
    </row>
    <row r="17" spans="1:52" ht="18.75" customHeight="1">
      <c r="A17" s="31">
        <v>4</v>
      </c>
      <c r="B17" s="184" t="str">
        <f>Бланк!B11</f>
        <v>Оптимальність організаційної структури закладу</v>
      </c>
      <c r="C17" s="185"/>
      <c r="D17" s="106">
        <f>Бланк!C11</f>
        <v>0.13</v>
      </c>
      <c r="E17" s="198">
        <v>3</v>
      </c>
      <c r="F17" s="198">
        <v>4</v>
      </c>
      <c r="G17" s="198">
        <v>3</v>
      </c>
      <c r="H17" s="107">
        <f t="shared" si="7"/>
        <v>3.3333333333333335</v>
      </c>
      <c r="I17" s="98">
        <f t="shared" si="8"/>
        <v>0.10833333333333334</v>
      </c>
      <c r="J17" s="108">
        <f t="shared" si="9"/>
        <v>3.3333333333333335</v>
      </c>
      <c r="K17" s="108"/>
      <c r="L17" s="110">
        <v>4</v>
      </c>
      <c r="M17" s="111" t="str">
        <f t="shared" si="0"/>
        <v/>
      </c>
      <c r="N17" s="111" t="str">
        <f t="shared" si="10"/>
        <v xml:space="preserve">Структура ЗПО. </v>
      </c>
      <c r="O17" s="111"/>
      <c r="P17" s="111" t="str">
        <f t="shared" si="11"/>
        <v/>
      </c>
      <c r="Q17" s="111" t="str">
        <f t="shared" si="12"/>
        <v/>
      </c>
      <c r="S17" s="112" t="str">
        <f>IF(M17="","","К4  ")</f>
        <v/>
      </c>
      <c r="T17" s="112" t="str">
        <f>IF(N17="","","К4  ")</f>
        <v xml:space="preserve">К4  </v>
      </c>
      <c r="U17" s="112" t="str">
        <f>IF(O17="","","К4  ")</f>
        <v/>
      </c>
      <c r="V17" s="112" t="str">
        <f>IF(P17="","","К4  ")</f>
        <v/>
      </c>
      <c r="W17" s="112" t="str">
        <f>IF(Q17="","","К4  ")</f>
        <v/>
      </c>
      <c r="Y17" s="123"/>
      <c r="Z17" s="124"/>
      <c r="AA17" s="124"/>
      <c r="AB17" s="124"/>
      <c r="AC17" s="124"/>
      <c r="AD17" s="121"/>
      <c r="AE17" s="121"/>
      <c r="AF17" s="121"/>
      <c r="AG17" s="121"/>
      <c r="AH17" s="121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76" t="s">
        <v>129</v>
      </c>
      <c r="AU17" s="20">
        <v>4</v>
      </c>
      <c r="AV17" s="118" t="str">
        <f>CONCATENATE(M30,M31,M32,M33,M34)</f>
        <v xml:space="preserve">Освітня програма. Навчальні програми. </v>
      </c>
      <c r="AW17" s="118" t="str">
        <f t="shared" ref="AW17:AZ17" si="20">CONCATENATE(N30,N31,N32,N33,N34)</f>
        <v xml:space="preserve">Профілізація. Цифрові технології. </v>
      </c>
      <c r="AX17" s="118" t="str">
        <f t="shared" si="20"/>
        <v/>
      </c>
      <c r="AY17" s="118" t="str">
        <f t="shared" si="20"/>
        <v/>
      </c>
      <c r="AZ17" s="118" t="str">
        <f t="shared" si="20"/>
        <v/>
      </c>
    </row>
    <row r="18" spans="1:52" ht="18.75" customHeight="1">
      <c r="A18" s="31">
        <v>5</v>
      </c>
      <c r="B18" s="184" t="str">
        <f>Бланк!B12</f>
        <v>Координація взаємодії всіх підрозділів закладу</v>
      </c>
      <c r="C18" s="185"/>
      <c r="D18" s="106">
        <f>Бланк!C12</f>
        <v>0.14000000000000001</v>
      </c>
      <c r="E18" s="198">
        <v>2</v>
      </c>
      <c r="F18" s="198">
        <v>3</v>
      </c>
      <c r="G18" s="198">
        <v>3</v>
      </c>
      <c r="H18" s="107">
        <f t="shared" si="7"/>
        <v>2.6666666666666665</v>
      </c>
      <c r="I18" s="98">
        <f t="shared" si="8"/>
        <v>9.3333333333333338E-2</v>
      </c>
      <c r="J18" s="108">
        <f t="shared" si="9"/>
        <v>2.6666666666666665</v>
      </c>
      <c r="K18" s="108"/>
      <c r="L18" s="110">
        <v>5</v>
      </c>
      <c r="M18" s="111" t="str">
        <f t="shared" si="0"/>
        <v/>
      </c>
      <c r="N18" s="111" t="str">
        <f t="shared" si="10"/>
        <v xml:space="preserve">Взаємодія підрозділів. </v>
      </c>
      <c r="O18" s="111"/>
      <c r="P18" s="111" t="str">
        <f t="shared" si="11"/>
        <v/>
      </c>
      <c r="Q18" s="111" t="str">
        <f t="shared" si="12"/>
        <v/>
      </c>
      <c r="S18" s="112" t="str">
        <f>IF(M18="","","К5  ")</f>
        <v/>
      </c>
      <c r="T18" s="112" t="str">
        <f>IF(N18="","","К5  ")</f>
        <v xml:space="preserve">К5  </v>
      </c>
      <c r="U18" s="112" t="str">
        <f>IF(O18="","","К5  ")</f>
        <v/>
      </c>
      <c r="V18" s="112" t="str">
        <f>IF(P18="","","К5  ")</f>
        <v/>
      </c>
      <c r="W18" s="112" t="str">
        <f>IF(Q18="","","К5  ")</f>
        <v/>
      </c>
      <c r="Y18" s="123"/>
      <c r="Z18" s="124"/>
      <c r="AA18" s="124"/>
      <c r="AB18" s="124"/>
      <c r="AC18" s="124"/>
      <c r="AD18" s="121"/>
      <c r="AE18" s="121"/>
      <c r="AF18" s="121"/>
      <c r="AG18" s="121"/>
      <c r="AH18" s="121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76" t="s">
        <v>79</v>
      </c>
      <c r="AU18" s="20">
        <v>5</v>
      </c>
      <c r="AV18" s="118" t="str">
        <f>CONCATENATE(M35,M36,M37,M38,M39)</f>
        <v xml:space="preserve">Результативність участі в заходах. </v>
      </c>
      <c r="AW18" s="118" t="str">
        <f t="shared" ref="AW18:AZ18" si="21">CONCATENATE(N35,N36,N37,N38,N39)</f>
        <v xml:space="preserve">Організація участі в заходах. Культурне дозвілля. Соціально-психологічний клімат. </v>
      </c>
      <c r="AX18" s="118" t="str">
        <f t="shared" si="21"/>
        <v/>
      </c>
      <c r="AY18" s="118" t="str">
        <f t="shared" si="21"/>
        <v xml:space="preserve">Учнівське самоврядування. </v>
      </c>
      <c r="AZ18" s="118" t="str">
        <f t="shared" si="21"/>
        <v/>
      </c>
    </row>
    <row r="19" spans="1:52" ht="18.75" customHeight="1">
      <c r="A19" s="31">
        <v>6</v>
      </c>
      <c r="B19" s="184" t="str">
        <f>Бланк!B13</f>
        <v>Результативність роботи загальних зборів (конференції) закладу</v>
      </c>
      <c r="C19" s="185"/>
      <c r="D19" s="106">
        <f>Бланк!C13</f>
        <v>0.1</v>
      </c>
      <c r="E19" s="198">
        <v>3</v>
      </c>
      <c r="F19" s="198">
        <v>4</v>
      </c>
      <c r="G19" s="198">
        <v>2</v>
      </c>
      <c r="H19" s="107">
        <f t="shared" si="7"/>
        <v>3</v>
      </c>
      <c r="I19" s="98">
        <f t="shared" si="8"/>
        <v>7.5000000000000011E-2</v>
      </c>
      <c r="J19" s="108">
        <f t="shared" si="9"/>
        <v>3</v>
      </c>
      <c r="K19" s="108"/>
      <c r="L19" s="110">
        <v>6</v>
      </c>
      <c r="M19" s="111" t="str">
        <f t="shared" si="0"/>
        <v/>
      </c>
      <c r="N19" s="111" t="str">
        <f t="shared" si="10"/>
        <v xml:space="preserve">Загальні збори. </v>
      </c>
      <c r="O19" s="111"/>
      <c r="P19" s="111" t="str">
        <f t="shared" si="11"/>
        <v/>
      </c>
      <c r="Q19" s="111" t="str">
        <f t="shared" si="12"/>
        <v/>
      </c>
      <c r="S19" s="112" t="str">
        <f>IF(M19="","","К6  ")</f>
        <v/>
      </c>
      <c r="T19" s="112" t="str">
        <f>IF(N19="","","К6  ")</f>
        <v xml:space="preserve">К6  </v>
      </c>
      <c r="U19" s="112" t="str">
        <f>IF(O19="","","К6  ")</f>
        <v/>
      </c>
      <c r="V19" s="112" t="str">
        <f>IF(P19="","","К6  ")</f>
        <v/>
      </c>
      <c r="W19" s="112" t="str">
        <f>IF(Q19="","","К6  ")</f>
        <v/>
      </c>
      <c r="Y19" s="123"/>
      <c r="Z19" s="124"/>
      <c r="AA19" s="124"/>
      <c r="AB19" s="124"/>
      <c r="AC19" s="124"/>
      <c r="AD19" s="121"/>
      <c r="AE19" s="121"/>
      <c r="AF19" s="121"/>
      <c r="AG19" s="121"/>
      <c r="AH19" s="121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76" t="s">
        <v>80</v>
      </c>
      <c r="AU19" s="20">
        <v>6</v>
      </c>
      <c r="AV19" s="118" t="str">
        <f>CONCATENATE(M40,M42,M43,M44,M45)</f>
        <v/>
      </c>
      <c r="AW19" s="118" t="str">
        <f t="shared" ref="AW19:AZ19" si="22">CONCATENATE(N40,N42,N43,N44,N45)</f>
        <v xml:space="preserve">Забезпеченість кадрами. Розподіл педкадрів. Стабільність педскладу. Робота з молодими спеціалістами. </v>
      </c>
      <c r="AX19" s="118" t="str">
        <f t="shared" si="22"/>
        <v/>
      </c>
      <c r="AY19" s="118" t="str">
        <f t="shared" si="22"/>
        <v/>
      </c>
      <c r="AZ19" s="118" t="str">
        <f t="shared" si="22"/>
        <v/>
      </c>
    </row>
    <row r="20" spans="1:52" ht="36.75" customHeight="1">
      <c r="A20" s="31">
        <v>7</v>
      </c>
      <c r="B20" s="184" t="str">
        <f>Бланк!B14</f>
        <v>Результативність роботи педагогічної ради, введення в дію її рішень</v>
      </c>
      <c r="C20" s="185"/>
      <c r="D20" s="106">
        <f>Бланк!C14</f>
        <v>0.13</v>
      </c>
      <c r="E20" s="198">
        <v>3</v>
      </c>
      <c r="F20" s="198">
        <v>4</v>
      </c>
      <c r="G20" s="198">
        <v>3</v>
      </c>
      <c r="H20" s="107">
        <f t="shared" si="7"/>
        <v>3.3333333333333335</v>
      </c>
      <c r="I20" s="98">
        <f t="shared" si="8"/>
        <v>0.10833333333333334</v>
      </c>
      <c r="J20" s="108">
        <f t="shared" si="9"/>
        <v>3.3333333333333335</v>
      </c>
      <c r="K20" s="108"/>
      <c r="L20" s="110">
        <v>7</v>
      </c>
      <c r="M20" s="111" t="str">
        <f t="shared" si="0"/>
        <v/>
      </c>
      <c r="N20" s="111" t="str">
        <f t="shared" si="10"/>
        <v xml:space="preserve">Педрада. </v>
      </c>
      <c r="O20" s="111"/>
      <c r="P20" s="111" t="str">
        <f t="shared" si="11"/>
        <v/>
      </c>
      <c r="Q20" s="111" t="str">
        <f t="shared" si="12"/>
        <v/>
      </c>
      <c r="S20" s="112" t="str">
        <f>IF(M20="","","К7  ")</f>
        <v/>
      </c>
      <c r="T20" s="112" t="str">
        <f>IF(N20="","","К7  ")</f>
        <v xml:space="preserve">К7  </v>
      </c>
      <c r="U20" s="112" t="str">
        <f>IF(O20="","","К7  ")</f>
        <v/>
      </c>
      <c r="V20" s="112" t="str">
        <f>IF(P20="","","К7  ")</f>
        <v/>
      </c>
      <c r="W20" s="112" t="str">
        <f>IF(Q20="","","К7  ")</f>
        <v/>
      </c>
      <c r="Y20" s="123"/>
      <c r="Z20" s="124"/>
      <c r="AA20" s="124"/>
      <c r="AB20" s="124"/>
      <c r="AC20" s="124"/>
      <c r="AD20" s="121"/>
      <c r="AE20" s="121"/>
      <c r="AF20" s="121"/>
      <c r="AG20" s="121"/>
      <c r="AH20" s="121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76" t="s">
        <v>81</v>
      </c>
      <c r="AU20" s="20">
        <v>7</v>
      </c>
      <c r="AV20" s="118" t="str">
        <f>CONCATENATE(M46,M47,M48,M49,M50)</f>
        <v/>
      </c>
      <c r="AW20" s="118" t="str">
        <f t="shared" ref="AW20:AZ20" si="23">CONCATENATE(N46,N47,N48,N49,N50)</f>
        <v xml:space="preserve">Методичний супровід. Мотиваційне середовище. Готовність до інновацій. Взаємодія з дітьми. </v>
      </c>
      <c r="AX20" s="118" t="str">
        <f t="shared" si="23"/>
        <v/>
      </c>
      <c r="AY20" s="118" t="str">
        <f t="shared" si="23"/>
        <v/>
      </c>
      <c r="AZ20" s="118" t="str">
        <f t="shared" si="23"/>
        <v/>
      </c>
    </row>
    <row r="21" spans="1:52" ht="34.5" customHeight="1">
      <c r="A21" s="31">
        <v>8</v>
      </c>
      <c r="B21" s="184" t="str">
        <f>Бланк!B15</f>
        <v>Системність інформаційного забезпечення управління закладом</v>
      </c>
      <c r="C21" s="185"/>
      <c r="D21" s="106">
        <f>Бланк!C15</f>
        <v>0.08</v>
      </c>
      <c r="E21" s="198">
        <v>3</v>
      </c>
      <c r="F21" s="198">
        <v>4</v>
      </c>
      <c r="G21" s="198">
        <v>3</v>
      </c>
      <c r="H21" s="107">
        <f t="shared" si="7"/>
        <v>3.3333333333333335</v>
      </c>
      <c r="I21" s="98">
        <f t="shared" si="8"/>
        <v>6.6666666666666666E-2</v>
      </c>
      <c r="J21" s="108">
        <f t="shared" si="9"/>
        <v>3.3333333333333335</v>
      </c>
      <c r="K21" s="108"/>
      <c r="L21" s="110">
        <v>8</v>
      </c>
      <c r="M21" s="111" t="str">
        <f t="shared" si="0"/>
        <v/>
      </c>
      <c r="N21" s="111" t="str">
        <f t="shared" si="10"/>
        <v xml:space="preserve">Інформаційне забезпечення. </v>
      </c>
      <c r="O21" s="111"/>
      <c r="P21" s="111" t="str">
        <f t="shared" si="11"/>
        <v/>
      </c>
      <c r="Q21" s="111" t="str">
        <f t="shared" si="12"/>
        <v/>
      </c>
      <c r="S21" s="112" t="str">
        <f>IF(M21="","","К8  ")</f>
        <v/>
      </c>
      <c r="T21" s="112" t="str">
        <f>IF(N21="","","К8  ")</f>
        <v xml:space="preserve">К8  </v>
      </c>
      <c r="U21" s="112" t="str">
        <f>IF(O21="","","К8  ")</f>
        <v/>
      </c>
      <c r="V21" s="112" t="str">
        <f>IF(P21="","","К8  ")</f>
        <v/>
      </c>
      <c r="W21" s="112" t="str">
        <f>IF(Q21="","","К8  ")</f>
        <v/>
      </c>
      <c r="Y21" s="123"/>
      <c r="Z21" s="124"/>
      <c r="AA21" s="124"/>
      <c r="AB21" s="124"/>
      <c r="AC21" s="124"/>
      <c r="AD21" s="121"/>
      <c r="AE21" s="121"/>
      <c r="AF21" s="121"/>
      <c r="AG21" s="121"/>
      <c r="AH21" s="121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76" t="s">
        <v>82</v>
      </c>
      <c r="AU21" s="20">
        <v>8</v>
      </c>
      <c r="AV21" s="118" t="str">
        <f>CONCATENATE(M51,M53,M54,M55,M56)</f>
        <v/>
      </c>
      <c r="AW21" s="118" t="str">
        <f t="shared" ref="AW21:AZ21" si="24">CONCATENATE(N51,N53,N54,N55,N56)</f>
        <v xml:space="preserve">Безперервна освіта педкадрів. Необхідні приміщення. Відповідність приміщень. Використання приміщень. </v>
      </c>
      <c r="AX21" s="118" t="str">
        <f t="shared" si="24"/>
        <v/>
      </c>
      <c r="AY21" s="118" t="str">
        <f t="shared" si="24"/>
        <v/>
      </c>
      <c r="AZ21" s="118" t="str">
        <f t="shared" si="24"/>
        <v/>
      </c>
    </row>
    <row r="22" spans="1:52">
      <c r="A22" s="31">
        <v>9</v>
      </c>
      <c r="B22" s="184" t="str">
        <f>Бланк!B16</f>
        <v>Робота з партнерами</v>
      </c>
      <c r="C22" s="185"/>
      <c r="D22" s="106">
        <f>Бланк!C16</f>
        <v>0.05</v>
      </c>
      <c r="E22" s="198">
        <v>2</v>
      </c>
      <c r="F22" s="198">
        <v>4</v>
      </c>
      <c r="G22" s="198">
        <v>4</v>
      </c>
      <c r="H22" s="107">
        <f t="shared" si="7"/>
        <v>3.3333333333333335</v>
      </c>
      <c r="I22" s="98">
        <f t="shared" si="8"/>
        <v>4.1666666666666671E-2</v>
      </c>
      <c r="J22" s="99"/>
      <c r="K22" s="99"/>
      <c r="L22" s="110">
        <v>9</v>
      </c>
      <c r="M22" s="111" t="str">
        <f t="shared" si="0"/>
        <v/>
      </c>
      <c r="N22" s="111" t="str">
        <f t="shared" si="10"/>
        <v xml:space="preserve">Роботв зі стейкхолдерами. </v>
      </c>
      <c r="O22" s="111"/>
      <c r="P22" s="111" t="str">
        <f t="shared" si="11"/>
        <v/>
      </c>
      <c r="Q22" s="111" t="str">
        <f t="shared" si="12"/>
        <v/>
      </c>
      <c r="S22" s="112" t="str">
        <f>IF(M22="","","К9 ")</f>
        <v/>
      </c>
      <c r="T22" s="112" t="str">
        <f>IF(N22="","","К9  ")</f>
        <v xml:space="preserve">К9  </v>
      </c>
      <c r="U22" s="112" t="str">
        <f>IF(O22="","","К9  ")</f>
        <v/>
      </c>
      <c r="V22" s="112" t="str">
        <f>IF(P22="","","К9  ")</f>
        <v/>
      </c>
      <c r="W22" s="112" t="str">
        <f>IF(Q22="","","К9  ")</f>
        <v/>
      </c>
      <c r="Y22" s="112"/>
      <c r="Z22" s="121"/>
      <c r="AA22" s="121"/>
      <c r="AB22" s="121"/>
      <c r="AC22" s="121"/>
      <c r="AD22" s="121"/>
      <c r="AE22" s="121"/>
      <c r="AF22" s="121"/>
      <c r="AG22" s="121"/>
      <c r="AH22" s="121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76" t="s">
        <v>83</v>
      </c>
      <c r="AU22" s="20">
        <v>9</v>
      </c>
      <c r="AV22" s="118" t="str">
        <f>CONCATENATE(M57,M58,M60,M61,M62)</f>
        <v/>
      </c>
      <c r="AW22" s="118" t="str">
        <f t="shared" ref="AW22:AZ22" si="25">CONCATENATE(N57,N58,N60,N61,N62)</f>
        <v xml:space="preserve">Взаємодія з закладами освіти. </v>
      </c>
      <c r="AX22" s="118" t="str">
        <f t="shared" si="25"/>
        <v/>
      </c>
      <c r="AY22" s="118" t="str">
        <f t="shared" si="25"/>
        <v xml:space="preserve">Взаємодія з соцслужбами. </v>
      </c>
      <c r="AZ22" s="118" t="str">
        <f t="shared" si="25"/>
        <v/>
      </c>
    </row>
    <row r="23" spans="1:52">
      <c r="A23" s="33" t="s">
        <v>4</v>
      </c>
      <c r="B23" s="173" t="str">
        <f>Бланк!B17</f>
        <v>Організація освітнього процесу в ЗПО</v>
      </c>
      <c r="C23" s="175"/>
      <c r="D23" s="27">
        <v>0.25</v>
      </c>
      <c r="E23" s="31"/>
      <c r="F23" s="31"/>
      <c r="G23" s="31"/>
      <c r="H23" s="107"/>
      <c r="I23" s="100">
        <f>L23*D23</f>
        <v>0.19937500000000002</v>
      </c>
      <c r="J23" s="101"/>
      <c r="K23" s="109">
        <f>AVERAGE(H24:H40)</f>
        <v>3.0392156862745101</v>
      </c>
      <c r="L23" s="102">
        <f>SUM(I24:I40)</f>
        <v>0.7975000000000001</v>
      </c>
      <c r="M23" s="125"/>
      <c r="N23" s="125"/>
      <c r="O23" s="125"/>
      <c r="P23" s="125"/>
      <c r="Q23" s="125"/>
      <c r="S23" s="126"/>
      <c r="T23" s="126"/>
      <c r="U23" s="126"/>
      <c r="V23" s="126"/>
      <c r="W23" s="126"/>
      <c r="X23" s="127"/>
      <c r="Y23" s="112"/>
      <c r="Z23" s="121"/>
      <c r="AA23" s="121"/>
      <c r="AB23" s="121"/>
      <c r="AC23" s="121"/>
      <c r="AD23" s="121"/>
      <c r="AE23" s="121"/>
      <c r="AF23" s="121"/>
      <c r="AG23" s="121"/>
      <c r="AH23" s="121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77"/>
      <c r="AU23" s="20">
        <v>10</v>
      </c>
      <c r="AV23" s="118" t="str">
        <f>CONCATENATE(M63,M64,M66,M67,M68)</f>
        <v xml:space="preserve">Режим роботи. Техніка безпеки. Санітарія. </v>
      </c>
      <c r="AW23" s="118" t="str">
        <f t="shared" ref="AW23:AZ23" si="26">CONCATENATE(N63,N64,N66,N67,N68)</f>
        <v xml:space="preserve">Співпраця з ГО, БФ. </v>
      </c>
      <c r="AX23" s="118" t="str">
        <f t="shared" si="26"/>
        <v/>
      </c>
      <c r="AY23" s="118" t="str">
        <f t="shared" si="26"/>
        <v xml:space="preserve">Робота з дітьми соцкатегорій. </v>
      </c>
      <c r="AZ23" s="118" t="str">
        <f t="shared" si="26"/>
        <v/>
      </c>
    </row>
    <row r="24" spans="1:52" ht="35.25" customHeight="1">
      <c r="A24" s="31">
        <v>10</v>
      </c>
      <c r="B24" s="182" t="str">
        <f>Бланк!B18</f>
        <v>Комплектування гуртків, груп та інших творчих об'єднань</v>
      </c>
      <c r="C24" s="183"/>
      <c r="D24" s="106">
        <f>Бланк!C18</f>
        <v>0.06</v>
      </c>
      <c r="E24" s="198">
        <v>3</v>
      </c>
      <c r="F24" s="198">
        <v>4</v>
      </c>
      <c r="G24" s="198">
        <v>3</v>
      </c>
      <c r="H24" s="107">
        <f t="shared" ref="H24:H40" si="27">IF(E24="","",AVERAGE(E24:G24))</f>
        <v>3.3333333333333335</v>
      </c>
      <c r="I24" s="98">
        <f t="shared" ref="I24:I40" si="28">IF(E24="","",H24*D24/4)</f>
        <v>0.05</v>
      </c>
      <c r="J24" s="99"/>
      <c r="K24" s="99"/>
      <c r="L24" s="110">
        <v>10</v>
      </c>
      <c r="M24" s="111" t="str">
        <f t="shared" si="0"/>
        <v/>
      </c>
      <c r="N24" s="111" t="str">
        <f t="shared" si="10"/>
        <v xml:space="preserve">Комплектування гуртків. </v>
      </c>
      <c r="O24" s="111"/>
      <c r="P24" s="111" t="str">
        <f t="shared" si="11"/>
        <v/>
      </c>
      <c r="Q24" s="111" t="str">
        <f t="shared" si="12"/>
        <v/>
      </c>
      <c r="S24" s="112" t="str">
        <f>IF(M24="","","К10  ")</f>
        <v/>
      </c>
      <c r="T24" s="112" t="str">
        <f>IF(N24="","","К10  ")</f>
        <v xml:space="preserve">К10  </v>
      </c>
      <c r="U24" s="112" t="str">
        <f>IF(O24="","","К10  ")</f>
        <v/>
      </c>
      <c r="V24" s="112" t="str">
        <f>IF(P24="","","К10  ")</f>
        <v/>
      </c>
      <c r="W24" s="112" t="str">
        <f>IF(Q24="","","К10  ")</f>
        <v/>
      </c>
      <c r="Y24" s="113" t="str">
        <f>CONCATENATE(S24,S25,S26,S27,S28)</f>
        <v/>
      </c>
      <c r="Z24" s="113" t="str">
        <f>CONCATENATE(T24,T25,T26,T27,T28)</f>
        <v xml:space="preserve">К10  К11  К12  К13  К14  </v>
      </c>
      <c r="AA24" s="113" t="str">
        <f>CONCATENATE(U24,U25,U26,U27,U28)</f>
        <v/>
      </c>
      <c r="AB24" s="113" t="str">
        <f>CONCATENATE(V24,V25,V26,V27,V28)</f>
        <v/>
      </c>
      <c r="AC24" s="113" t="str">
        <f>CONCATENATE(W24,W25,W26,W27,W28)</f>
        <v/>
      </c>
      <c r="AD24" s="114" t="str">
        <f>CONCATENATE(Y24,Y25,Y26,Y27)</f>
        <v xml:space="preserve">К16  К17  К22  </v>
      </c>
      <c r="AE24" s="114" t="str">
        <f>CONCATENATE(Z24,Z25,Z26,Z27)</f>
        <v xml:space="preserve">К10  К11  К12  К13  К14  К15  К18  К19  К21  К23  К25  </v>
      </c>
      <c r="AF24" s="114" t="str">
        <f>CONCATENATE(AA24,AA25,AA26,AA27)</f>
        <v/>
      </c>
      <c r="AG24" s="114" t="str">
        <f>CONCATENATE(AB24,AB25,AB26,AB27)</f>
        <v xml:space="preserve">К24  </v>
      </c>
      <c r="AH24" s="114" t="str">
        <f>CONCATENATE(AC24,AC25,AC26,AC27)</f>
        <v/>
      </c>
      <c r="AI24" s="115" t="s">
        <v>71</v>
      </c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76" t="s">
        <v>84</v>
      </c>
      <c r="AU24" s="20">
        <v>11</v>
      </c>
      <c r="AV24" s="118" t="str">
        <f>CONCATENATE(M70,M71,M72,M73,M74)</f>
        <v xml:space="preserve">Репутація ЗПО. </v>
      </c>
      <c r="AW24" s="118" t="str">
        <f t="shared" ref="AW24:AZ24" si="29">CONCATENATE(N70,N71,N72,N73,N74)</f>
        <v xml:space="preserve">Інфраструктурні умови. Інформаційна відкритість. Вебсайт. Естетичність ЗПО. </v>
      </c>
      <c r="AX24" s="118" t="str">
        <f t="shared" si="29"/>
        <v/>
      </c>
      <c r="AY24" s="118" t="str">
        <f t="shared" si="29"/>
        <v/>
      </c>
      <c r="AZ24" s="118" t="str">
        <f t="shared" si="29"/>
        <v/>
      </c>
    </row>
    <row r="25" spans="1:52">
      <c r="A25" s="31">
        <v>11</v>
      </c>
      <c r="B25" s="182" t="str">
        <f>Бланк!B19</f>
        <v>Динаміка контингенту вихованців</v>
      </c>
      <c r="C25" s="183"/>
      <c r="D25" s="106">
        <f>Бланк!C19</f>
        <v>0.04</v>
      </c>
      <c r="E25" s="198">
        <v>3</v>
      </c>
      <c r="F25" s="198">
        <v>3</v>
      </c>
      <c r="G25" s="198">
        <v>4</v>
      </c>
      <c r="H25" s="107">
        <f t="shared" si="27"/>
        <v>3.3333333333333335</v>
      </c>
      <c r="I25" s="98">
        <f t="shared" si="28"/>
        <v>3.3333333333333333E-2</v>
      </c>
      <c r="J25" s="99"/>
      <c r="K25" s="99"/>
      <c r="L25" s="110">
        <v>11</v>
      </c>
      <c r="M25" s="111" t="str">
        <f t="shared" si="0"/>
        <v/>
      </c>
      <c r="N25" s="111" t="str">
        <f t="shared" si="10"/>
        <v xml:space="preserve">Динаміка контингенту. </v>
      </c>
      <c r="O25" s="111"/>
      <c r="P25" s="111" t="str">
        <f t="shared" si="11"/>
        <v/>
      </c>
      <c r="Q25" s="111" t="str">
        <f t="shared" si="12"/>
        <v/>
      </c>
      <c r="S25" s="112" t="str">
        <f>IF(M25="","","К11  ")</f>
        <v/>
      </c>
      <c r="T25" s="112" t="str">
        <f>IF(N25="","","К11  ")</f>
        <v xml:space="preserve">К11  </v>
      </c>
      <c r="U25" s="112" t="str">
        <f>IF(O25="","","К11  ")</f>
        <v/>
      </c>
      <c r="V25" s="112" t="str">
        <f>IF(P25="","","К11  ")</f>
        <v/>
      </c>
      <c r="W25" s="112" t="str">
        <f>IF(Q25="","","К11  ")</f>
        <v/>
      </c>
      <c r="Y25" s="113" t="str">
        <f>CONCATENATE(S29,S30,S31,S32,S33)</f>
        <v xml:space="preserve">К16  К17  </v>
      </c>
      <c r="Z25" s="113" t="str">
        <f>CONCATENATE(T29,T30,T31,T32,T33)</f>
        <v xml:space="preserve">К15  К18  К19  </v>
      </c>
      <c r="AA25" s="113" t="str">
        <f>CONCATENATE(U29,U30,U31,U32,U33)</f>
        <v/>
      </c>
      <c r="AB25" s="113" t="str">
        <f>CONCATENATE(V29,V30,V31,V32,V33)</f>
        <v/>
      </c>
      <c r="AC25" s="113" t="str">
        <f>CONCATENATE(W29,W30,W31,W32,W33)</f>
        <v/>
      </c>
      <c r="AD25" s="121"/>
      <c r="AE25" s="121"/>
      <c r="AF25" s="121"/>
      <c r="AG25" s="121"/>
      <c r="AH25" s="121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76" t="s">
        <v>85</v>
      </c>
    </row>
    <row r="26" spans="1:52">
      <c r="A26" s="31">
        <v>12</v>
      </c>
      <c r="B26" s="182" t="str">
        <f>Бланк!B20</f>
        <v>Організація гурткової  роботи</v>
      </c>
      <c r="C26" s="183"/>
      <c r="D26" s="106">
        <f>Бланк!C20</f>
        <v>0.11</v>
      </c>
      <c r="E26" s="198">
        <v>3</v>
      </c>
      <c r="F26" s="198">
        <v>3</v>
      </c>
      <c r="G26" s="198">
        <v>4</v>
      </c>
      <c r="H26" s="107">
        <f t="shared" si="27"/>
        <v>3.3333333333333335</v>
      </c>
      <c r="I26" s="98">
        <f t="shared" si="28"/>
        <v>9.1666666666666674E-2</v>
      </c>
      <c r="J26" s="99"/>
      <c r="K26" s="99"/>
      <c r="L26" s="110">
        <v>12</v>
      </c>
      <c r="M26" s="111" t="str">
        <f t="shared" si="0"/>
        <v/>
      </c>
      <c r="N26" s="111" t="str">
        <f t="shared" si="10"/>
        <v xml:space="preserve">Гурткова робота. </v>
      </c>
      <c r="O26" s="111"/>
      <c r="P26" s="111" t="str">
        <f t="shared" si="11"/>
        <v/>
      </c>
      <c r="Q26" s="111" t="str">
        <f t="shared" si="12"/>
        <v/>
      </c>
      <c r="S26" s="112" t="str">
        <f>IF(M26="","","К12  ")</f>
        <v/>
      </c>
      <c r="T26" s="112" t="str">
        <f>IF(N26="","","К12  ")</f>
        <v xml:space="preserve">К12  </v>
      </c>
      <c r="U26" s="112" t="str">
        <f>IF(O26="","","К12  ")</f>
        <v/>
      </c>
      <c r="V26" s="112" t="str">
        <f>IF(P26="","","К12  ")</f>
        <v/>
      </c>
      <c r="W26" s="112" t="str">
        <f>IF(Q26="","","К12  ")</f>
        <v/>
      </c>
      <c r="Y26" s="113" t="str">
        <f>CONCATENATE(S34,S35,S36,S37,S38)</f>
        <v xml:space="preserve">К22  </v>
      </c>
      <c r="Z26" s="113" t="str">
        <f>CONCATENATE(T34,T35,T36,T37,T38)</f>
        <v xml:space="preserve">К21  К23  </v>
      </c>
      <c r="AA26" s="113" t="str">
        <f>CONCATENATE(U34,U35,U36,U37,U38)</f>
        <v/>
      </c>
      <c r="AB26" s="113" t="str">
        <f>CONCATENATE(V34,V35,V36,V37,V38)</f>
        <v xml:space="preserve">К24  </v>
      </c>
      <c r="AC26" s="113" t="str">
        <f>CONCATENATE(W34,W35,W36,W37,W38)</f>
        <v/>
      </c>
      <c r="AD26" s="121"/>
      <c r="AE26" s="121"/>
      <c r="AF26" s="121"/>
      <c r="AG26" s="121"/>
      <c r="AH26" s="121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76" t="s">
        <v>86</v>
      </c>
    </row>
    <row r="27" spans="1:52">
      <c r="A27" s="31">
        <v>13</v>
      </c>
      <c r="B27" s="182" t="str">
        <f>Бланк!B21</f>
        <v>Організація  індивідуальної роботи</v>
      </c>
      <c r="C27" s="183"/>
      <c r="D27" s="106">
        <f>Бланк!C21</f>
        <v>0.1</v>
      </c>
      <c r="E27" s="198">
        <v>2</v>
      </c>
      <c r="F27" s="198">
        <v>4</v>
      </c>
      <c r="G27" s="198">
        <v>4</v>
      </c>
      <c r="H27" s="107">
        <f t="shared" si="27"/>
        <v>3.3333333333333335</v>
      </c>
      <c r="I27" s="98">
        <f t="shared" si="28"/>
        <v>8.3333333333333343E-2</v>
      </c>
      <c r="J27" s="99"/>
      <c r="K27" s="99"/>
      <c r="L27" s="110">
        <v>13</v>
      </c>
      <c r="M27" s="111" t="str">
        <f t="shared" si="0"/>
        <v/>
      </c>
      <c r="N27" s="111" t="str">
        <f t="shared" si="10"/>
        <v xml:space="preserve">Індивідуальна робота. </v>
      </c>
      <c r="O27" s="111"/>
      <c r="P27" s="111" t="str">
        <f t="shared" si="11"/>
        <v/>
      </c>
      <c r="Q27" s="111" t="str">
        <f t="shared" si="12"/>
        <v/>
      </c>
      <c r="S27" s="112" t="str">
        <f>IF(M27="","","К13  ")</f>
        <v/>
      </c>
      <c r="T27" s="112" t="str">
        <f>IF(N27="","","К13  ")</f>
        <v xml:space="preserve">К13  </v>
      </c>
      <c r="U27" s="112" t="str">
        <f>IF(O27="","","К13  ")</f>
        <v/>
      </c>
      <c r="V27" s="112" t="str">
        <f>IF(P27="","","К13  ")</f>
        <v/>
      </c>
      <c r="W27" s="112" t="str">
        <f>IF(Q27="","","К13  ")</f>
        <v/>
      </c>
      <c r="Y27" s="113" t="str">
        <f>CONCATENATE(S39,S40)</f>
        <v/>
      </c>
      <c r="Z27" s="113" t="str">
        <f>CONCATENATE(T39,T40)</f>
        <v xml:space="preserve">К25  </v>
      </c>
      <c r="AA27" s="113" t="str">
        <f>CONCATENATE(U39,U40)</f>
        <v/>
      </c>
      <c r="AB27" s="113" t="str">
        <f>CONCATENATE(V39,V40)</f>
        <v/>
      </c>
      <c r="AC27" s="113" t="str">
        <f>CONCATENATE(W39,W40)</f>
        <v/>
      </c>
      <c r="AD27" s="121"/>
      <c r="AE27" s="121"/>
      <c r="AF27" s="121"/>
      <c r="AG27" s="121"/>
      <c r="AH27" s="121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76" t="s">
        <v>87</v>
      </c>
    </row>
    <row r="28" spans="1:52" ht="18.75" customHeight="1">
      <c r="A28" s="31">
        <v>14</v>
      </c>
      <c r="B28" s="182" t="str">
        <f>Бланк!B22</f>
        <v>Організація дистанційної та змішаної форм освіти засобами</v>
      </c>
      <c r="C28" s="183"/>
      <c r="D28" s="106">
        <f>Бланк!C22</f>
        <v>0.05</v>
      </c>
      <c r="E28" s="198">
        <v>2</v>
      </c>
      <c r="F28" s="198">
        <v>4</v>
      </c>
      <c r="G28" s="198">
        <v>3</v>
      </c>
      <c r="H28" s="107">
        <f t="shared" si="27"/>
        <v>3</v>
      </c>
      <c r="I28" s="98">
        <f t="shared" si="28"/>
        <v>3.7500000000000006E-2</v>
      </c>
      <c r="J28" s="99"/>
      <c r="K28" s="99"/>
      <c r="L28" s="110">
        <v>14</v>
      </c>
      <c r="M28" s="111" t="str">
        <f t="shared" si="0"/>
        <v/>
      </c>
      <c r="N28" s="111" t="str">
        <f t="shared" si="10"/>
        <v xml:space="preserve">Дистанційна освіта. </v>
      </c>
      <c r="O28" s="111"/>
      <c r="P28" s="111" t="str">
        <f t="shared" si="11"/>
        <v/>
      </c>
      <c r="Q28" s="111" t="str">
        <f t="shared" si="12"/>
        <v/>
      </c>
      <c r="S28" s="112" t="str">
        <f>IF(M28="","","К14  ")</f>
        <v/>
      </c>
      <c r="T28" s="112" t="str">
        <f>IF(N28="","","К14  ")</f>
        <v xml:space="preserve">К14  </v>
      </c>
      <c r="U28" s="112" t="str">
        <f>IF(O28="","","К14  ")</f>
        <v/>
      </c>
      <c r="V28" s="112" t="str">
        <f>IF(P28="","","К14  ")</f>
        <v/>
      </c>
      <c r="W28" s="112" t="str">
        <f>IF(Q28="","","К14  ")</f>
        <v/>
      </c>
      <c r="Y28" s="112"/>
      <c r="Z28" s="121"/>
      <c r="AA28" s="121"/>
      <c r="AB28" s="121"/>
      <c r="AC28" s="121"/>
      <c r="AD28" s="121"/>
      <c r="AE28" s="121"/>
      <c r="AF28" s="121"/>
      <c r="AG28" s="121"/>
      <c r="AH28" s="121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76" t="s">
        <v>88</v>
      </c>
    </row>
    <row r="29" spans="1:52" ht="34.5" customHeight="1">
      <c r="A29" s="31">
        <v>15</v>
      </c>
      <c r="B29" s="182" t="str">
        <f>Бланк!B23</f>
        <v>Організація інклюзивної освіти (за наявності таких дітей у закладі)</v>
      </c>
      <c r="C29" s="183"/>
      <c r="D29" s="106">
        <f>Бланк!C23</f>
        <v>0.04</v>
      </c>
      <c r="E29" s="198">
        <v>2</v>
      </c>
      <c r="F29" s="198">
        <v>3</v>
      </c>
      <c r="G29" s="198">
        <v>3</v>
      </c>
      <c r="H29" s="107">
        <f t="shared" si="27"/>
        <v>2.6666666666666665</v>
      </c>
      <c r="I29" s="98">
        <f t="shared" si="28"/>
        <v>2.6666666666666665E-2</v>
      </c>
      <c r="J29" s="99"/>
      <c r="K29" s="99"/>
      <c r="L29" s="110">
        <v>15</v>
      </c>
      <c r="M29" s="111" t="str">
        <f t="shared" si="0"/>
        <v/>
      </c>
      <c r="N29" s="111" t="str">
        <f t="shared" si="10"/>
        <v xml:space="preserve">Інклюзія. </v>
      </c>
      <c r="O29" s="111"/>
      <c r="P29" s="111" t="str">
        <f t="shared" si="11"/>
        <v/>
      </c>
      <c r="Q29" s="111" t="str">
        <f t="shared" si="12"/>
        <v/>
      </c>
      <c r="S29" s="112" t="str">
        <f>IF(M29="","","К15  ")</f>
        <v/>
      </c>
      <c r="T29" s="112" t="str">
        <f>IF(N29="","","К15  ")</f>
        <v xml:space="preserve">К15  </v>
      </c>
      <c r="U29" s="112" t="str">
        <f>IF(O29="","","К15  ")</f>
        <v/>
      </c>
      <c r="V29" s="112" t="str">
        <f>IF(P29="","","К15  ")</f>
        <v/>
      </c>
      <c r="W29" s="112" t="str">
        <f>IF(Q29="","","К15  ")</f>
        <v/>
      </c>
      <c r="Y29" s="112"/>
      <c r="Z29" s="121"/>
      <c r="AA29" s="121"/>
      <c r="AB29" s="121"/>
      <c r="AC29" s="121"/>
      <c r="AD29" s="121"/>
      <c r="AE29" s="121"/>
      <c r="AF29" s="121"/>
      <c r="AG29" s="121"/>
      <c r="AH29" s="121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76" t="s">
        <v>89</v>
      </c>
    </row>
    <row r="30" spans="1:52" ht="35.25" customHeight="1">
      <c r="A30" s="31">
        <v>16</v>
      </c>
      <c r="B30" s="182" t="str">
        <f>Бланк!B24</f>
        <v>Відповідність освітньої програми меті, завданням діяльності закладу</v>
      </c>
      <c r="C30" s="183"/>
      <c r="D30" s="106">
        <f>Бланк!C24</f>
        <v>0.1</v>
      </c>
      <c r="E30" s="198">
        <v>4</v>
      </c>
      <c r="F30" s="198">
        <v>4</v>
      </c>
      <c r="G30" s="198">
        <v>3</v>
      </c>
      <c r="H30" s="107">
        <f t="shared" si="27"/>
        <v>3.6666666666666665</v>
      </c>
      <c r="I30" s="98">
        <f t="shared" si="28"/>
        <v>9.1666666666666674E-2</v>
      </c>
      <c r="J30" s="99"/>
      <c r="K30" s="99"/>
      <c r="L30" s="110">
        <v>16</v>
      </c>
      <c r="M30" s="111" t="str">
        <f t="shared" si="0"/>
        <v xml:space="preserve">Освітня програма. </v>
      </c>
      <c r="N30" s="111" t="str">
        <f t="shared" si="10"/>
        <v/>
      </c>
      <c r="O30" s="111"/>
      <c r="P30" s="111" t="str">
        <f t="shared" si="11"/>
        <v/>
      </c>
      <c r="Q30" s="111" t="str">
        <f t="shared" si="12"/>
        <v/>
      </c>
      <c r="S30" s="112" t="str">
        <f>IF(M30="","","К16  ")</f>
        <v xml:space="preserve">К16  </v>
      </c>
      <c r="T30" s="112" t="str">
        <f>IF(N30="","","К16  ")</f>
        <v/>
      </c>
      <c r="U30" s="112" t="str">
        <f>IF(O30="","","К16  ")</f>
        <v/>
      </c>
      <c r="V30" s="112" t="str">
        <f>IF(P30="","","К16  ")</f>
        <v/>
      </c>
      <c r="W30" s="112" t="str">
        <f>IF(Q30="","","К16  ")</f>
        <v/>
      </c>
      <c r="Y30" s="112"/>
      <c r="Z30" s="121"/>
      <c r="AA30" s="121"/>
      <c r="AB30" s="121"/>
      <c r="AC30" s="121"/>
      <c r="AD30" s="121"/>
      <c r="AE30" s="121"/>
      <c r="AF30" s="121"/>
      <c r="AG30" s="121"/>
      <c r="AH30" s="121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76" t="s">
        <v>90</v>
      </c>
    </row>
    <row r="31" spans="1:52" ht="36.75" customHeight="1">
      <c r="A31" s="31">
        <v>17</v>
      </c>
      <c r="B31" s="182" t="str">
        <f>Бланк!B25</f>
        <v>Наявність необхідних навчальних програм, їх відповідність навчальному плану</v>
      </c>
      <c r="C31" s="183"/>
      <c r="D31" s="106">
        <f>Бланк!C25</f>
        <v>0.1</v>
      </c>
      <c r="E31" s="198">
        <v>4</v>
      </c>
      <c r="F31" s="198">
        <v>4</v>
      </c>
      <c r="G31" s="198">
        <v>4</v>
      </c>
      <c r="H31" s="107">
        <f t="shared" si="27"/>
        <v>4</v>
      </c>
      <c r="I31" s="98">
        <f t="shared" si="28"/>
        <v>0.1</v>
      </c>
      <c r="J31" s="99"/>
      <c r="K31" s="99"/>
      <c r="L31" s="110">
        <v>17</v>
      </c>
      <c r="M31" s="111" t="str">
        <f t="shared" si="0"/>
        <v xml:space="preserve">Навчальні програми. </v>
      </c>
      <c r="N31" s="111" t="str">
        <f t="shared" si="10"/>
        <v/>
      </c>
      <c r="O31" s="111"/>
      <c r="P31" s="111" t="str">
        <f t="shared" si="11"/>
        <v/>
      </c>
      <c r="Q31" s="111" t="str">
        <f t="shared" si="12"/>
        <v/>
      </c>
      <c r="S31" s="112" t="str">
        <f>IF(M31="","","К17  ")</f>
        <v xml:space="preserve">К17  </v>
      </c>
      <c r="T31" s="112" t="str">
        <f>IF(N31="","","К17  ")</f>
        <v/>
      </c>
      <c r="U31" s="112" t="str">
        <f>IF(O31="","","К17  ")</f>
        <v/>
      </c>
      <c r="V31" s="112" t="str">
        <f>IF(P31="","","К17  ")</f>
        <v/>
      </c>
      <c r="W31" s="112" t="str">
        <f>IF(Q31="","","К17  ")</f>
        <v/>
      </c>
      <c r="Y31" s="112"/>
      <c r="Z31" s="121"/>
      <c r="AA31" s="121"/>
      <c r="AB31" s="121"/>
      <c r="AC31" s="121"/>
      <c r="AD31" s="121"/>
      <c r="AE31" s="121"/>
      <c r="AF31" s="121"/>
      <c r="AG31" s="121"/>
      <c r="AH31" s="121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76" t="s">
        <v>91</v>
      </c>
    </row>
    <row r="32" spans="1:52" ht="36" customHeight="1">
      <c r="A32" s="31">
        <v>18</v>
      </c>
      <c r="B32" s="182" t="str">
        <f>Бланк!B26</f>
        <v>Спрямованість освітнього процесу на підготовку до майбутньої професії (профілізація)</v>
      </c>
      <c r="C32" s="183"/>
      <c r="D32" s="106">
        <f>Бланк!C26</f>
        <v>0.08</v>
      </c>
      <c r="E32" s="198">
        <v>3</v>
      </c>
      <c r="F32" s="198">
        <v>4</v>
      </c>
      <c r="G32" s="198">
        <v>3</v>
      </c>
      <c r="H32" s="107">
        <f t="shared" si="27"/>
        <v>3.3333333333333335</v>
      </c>
      <c r="I32" s="98">
        <f t="shared" si="28"/>
        <v>6.6666666666666666E-2</v>
      </c>
      <c r="J32" s="99"/>
      <c r="K32" s="99"/>
      <c r="L32" s="110">
        <v>18</v>
      </c>
      <c r="M32" s="111" t="str">
        <f t="shared" si="0"/>
        <v/>
      </c>
      <c r="N32" s="111" t="str">
        <f t="shared" si="10"/>
        <v xml:space="preserve">Профілізація. </v>
      </c>
      <c r="O32" s="111"/>
      <c r="P32" s="111" t="str">
        <f t="shared" si="11"/>
        <v/>
      </c>
      <c r="Q32" s="111" t="str">
        <f t="shared" si="12"/>
        <v/>
      </c>
      <c r="S32" s="112" t="str">
        <f>IF(M32="","","К18  ")</f>
        <v/>
      </c>
      <c r="T32" s="112" t="str">
        <f>IF(N32="","","К18  ")</f>
        <v xml:space="preserve">К18  </v>
      </c>
      <c r="U32" s="112" t="str">
        <f>IF(O32="","","К18  ")</f>
        <v/>
      </c>
      <c r="V32" s="112" t="str">
        <f>IF(P32="","","К18  ")</f>
        <v/>
      </c>
      <c r="W32" s="112" t="str">
        <f>IF(Q32="","","К18  ")</f>
        <v/>
      </c>
      <c r="Y32" s="112"/>
      <c r="Z32" s="121"/>
      <c r="AA32" s="121"/>
      <c r="AB32" s="121"/>
      <c r="AC32" s="121"/>
      <c r="AD32" s="121"/>
      <c r="AE32" s="121"/>
      <c r="AF32" s="121"/>
      <c r="AG32" s="121"/>
      <c r="AH32" s="121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76" t="s">
        <v>92</v>
      </c>
    </row>
    <row r="33" spans="1:46">
      <c r="A33" s="31">
        <v>19</v>
      </c>
      <c r="B33" s="182" t="str">
        <f>Бланк!B27</f>
        <v>Використання інформаційних цифрових технологій в освітньому процесі</v>
      </c>
      <c r="C33" s="183"/>
      <c r="D33" s="106">
        <f>Бланк!C27</f>
        <v>0.04</v>
      </c>
      <c r="E33" s="198">
        <v>3</v>
      </c>
      <c r="F33" s="198">
        <v>4</v>
      </c>
      <c r="G33" s="198">
        <v>3</v>
      </c>
      <c r="H33" s="107">
        <f t="shared" si="27"/>
        <v>3.3333333333333335</v>
      </c>
      <c r="I33" s="98">
        <f t="shared" si="28"/>
        <v>3.3333333333333333E-2</v>
      </c>
      <c r="J33" s="99"/>
      <c r="K33" s="99"/>
      <c r="L33" s="110">
        <v>19</v>
      </c>
      <c r="M33" s="111" t="str">
        <f t="shared" si="0"/>
        <v/>
      </c>
      <c r="N33" s="111" t="str">
        <f t="shared" si="10"/>
        <v xml:space="preserve">Цифрові технології. </v>
      </c>
      <c r="O33" s="111"/>
      <c r="P33" s="111" t="str">
        <f t="shared" si="11"/>
        <v/>
      </c>
      <c r="Q33" s="111" t="str">
        <f t="shared" si="12"/>
        <v/>
      </c>
      <c r="S33" s="112" t="str">
        <f>IF(M33="","","К19  ")</f>
        <v/>
      </c>
      <c r="T33" s="112" t="str">
        <f>IF(N33="","","К19  ")</f>
        <v xml:space="preserve">К19  </v>
      </c>
      <c r="U33" s="112" t="str">
        <f>IF(O33="","","К19  ")</f>
        <v/>
      </c>
      <c r="V33" s="112" t="str">
        <f>IF(P33="","","К19  ")</f>
        <v/>
      </c>
      <c r="W33" s="112" t="str">
        <f>IF(Q33="","","К19  ")</f>
        <v/>
      </c>
      <c r="Y33" s="112"/>
      <c r="Z33" s="121"/>
      <c r="AA33" s="121"/>
      <c r="AB33" s="121"/>
      <c r="AC33" s="121"/>
      <c r="AD33" s="121"/>
      <c r="AE33" s="121"/>
      <c r="AF33" s="121"/>
      <c r="AG33" s="121"/>
      <c r="AH33" s="121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76" t="s">
        <v>93</v>
      </c>
    </row>
    <row r="34" spans="1:46" ht="36.75" customHeight="1">
      <c r="A34" s="31">
        <v>20</v>
      </c>
      <c r="B34" s="182" t="str">
        <f>Бланк!B28</f>
        <v>Організація дослідницько-експериментальної діяльності вихованців за напрямом позашкільної освіти</v>
      </c>
      <c r="C34" s="183"/>
      <c r="D34" s="106">
        <f>Бланк!C28</f>
        <v>0.04</v>
      </c>
      <c r="E34" s="198">
        <v>2</v>
      </c>
      <c r="F34" s="198">
        <v>0</v>
      </c>
      <c r="G34" s="198">
        <v>4</v>
      </c>
      <c r="H34" s="107">
        <f t="shared" si="27"/>
        <v>2</v>
      </c>
      <c r="I34" s="98">
        <f t="shared" si="28"/>
        <v>0.02</v>
      </c>
      <c r="J34" s="99"/>
      <c r="K34" s="99"/>
      <c r="L34" s="110">
        <v>20</v>
      </c>
      <c r="M34" s="111" t="str">
        <f t="shared" si="0"/>
        <v/>
      </c>
      <c r="N34" s="111" t="str">
        <f t="shared" si="10"/>
        <v/>
      </c>
      <c r="O34" s="111"/>
      <c r="P34" s="111" t="str">
        <f t="shared" si="11"/>
        <v/>
      </c>
      <c r="Q34" s="111" t="str">
        <f t="shared" si="12"/>
        <v/>
      </c>
      <c r="S34" s="112" t="str">
        <f>IF(M34="","","К20  ")</f>
        <v/>
      </c>
      <c r="T34" s="112" t="str">
        <f>IF(N34="","","К20  ")</f>
        <v/>
      </c>
      <c r="U34" s="112" t="str">
        <f>IF(O34="","","К20  ")</f>
        <v/>
      </c>
      <c r="V34" s="112" t="str">
        <f>IF(P34="","","К20  ")</f>
        <v/>
      </c>
      <c r="W34" s="112" t="str">
        <f>IF(Q34="","","К20  ")</f>
        <v/>
      </c>
      <c r="Y34" s="112"/>
      <c r="Z34" s="121"/>
      <c r="AA34" s="121"/>
      <c r="AB34" s="121"/>
      <c r="AC34" s="121"/>
      <c r="AD34" s="121"/>
      <c r="AE34" s="121"/>
      <c r="AF34" s="121"/>
      <c r="AG34" s="121"/>
      <c r="AH34" s="121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76" t="s">
        <v>94</v>
      </c>
    </row>
    <row r="35" spans="1:46">
      <c r="A35" s="31">
        <v>21</v>
      </c>
      <c r="B35" s="182" t="str">
        <f>Бланк!B29</f>
        <v>Організація участі дітей в організаційно-масових заходах різних рівнів</v>
      </c>
      <c r="C35" s="183"/>
      <c r="D35" s="106">
        <f>Бланк!C29</f>
        <v>0.06</v>
      </c>
      <c r="E35" s="198">
        <v>2</v>
      </c>
      <c r="F35" s="198">
        <v>4</v>
      </c>
      <c r="G35" s="198">
        <v>4</v>
      </c>
      <c r="H35" s="107">
        <f t="shared" si="27"/>
        <v>3.3333333333333335</v>
      </c>
      <c r="I35" s="98">
        <f t="shared" si="28"/>
        <v>0.05</v>
      </c>
      <c r="J35" s="99"/>
      <c r="K35" s="99"/>
      <c r="L35" s="110">
        <v>21</v>
      </c>
      <c r="M35" s="111" t="str">
        <f t="shared" si="0"/>
        <v/>
      </c>
      <c r="N35" s="111" t="str">
        <f t="shared" si="10"/>
        <v xml:space="preserve">Організація участі в заходах. </v>
      </c>
      <c r="O35" s="111"/>
      <c r="P35" s="111" t="str">
        <f t="shared" si="11"/>
        <v/>
      </c>
      <c r="Q35" s="111" t="str">
        <f t="shared" si="12"/>
        <v/>
      </c>
      <c r="S35" s="112" t="str">
        <f>IF(M35="","","К21  ")</f>
        <v/>
      </c>
      <c r="T35" s="112" t="str">
        <f>IF(N35="","","К21  ")</f>
        <v xml:space="preserve">К21  </v>
      </c>
      <c r="U35" s="112" t="str">
        <f>IF(O35="","","К21  ")</f>
        <v/>
      </c>
      <c r="V35" s="112" t="str">
        <f>IF(P35="","","К21  ")</f>
        <v/>
      </c>
      <c r="W35" s="112" t="str">
        <f>IF(Q35="","","К21  ")</f>
        <v/>
      </c>
      <c r="Y35" s="112"/>
      <c r="Z35" s="121"/>
      <c r="AA35" s="121"/>
      <c r="AB35" s="121"/>
      <c r="AC35" s="121"/>
      <c r="AD35" s="121"/>
      <c r="AE35" s="121"/>
      <c r="AF35" s="121"/>
      <c r="AG35" s="121"/>
      <c r="AH35" s="121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76" t="s">
        <v>95</v>
      </c>
    </row>
    <row r="36" spans="1:46" ht="36" customHeight="1">
      <c r="A36" s="31">
        <v>22</v>
      </c>
      <c r="B36" s="182" t="str">
        <f>Бланк!B30</f>
        <v>Ефективність участі дітей в організаційно-масових заходах різних рівнів</v>
      </c>
      <c r="C36" s="183"/>
      <c r="D36" s="106">
        <f>Бланк!C30</f>
        <v>0.04</v>
      </c>
      <c r="E36" s="198">
        <v>3</v>
      </c>
      <c r="F36" s="198">
        <v>4</v>
      </c>
      <c r="G36" s="198">
        <v>4</v>
      </c>
      <c r="H36" s="107">
        <f t="shared" si="27"/>
        <v>3.6666666666666665</v>
      </c>
      <c r="I36" s="98">
        <f t="shared" si="28"/>
        <v>3.6666666666666667E-2</v>
      </c>
      <c r="J36" s="99"/>
      <c r="K36" s="99"/>
      <c r="L36" s="110">
        <v>22</v>
      </c>
      <c r="M36" s="111" t="str">
        <f t="shared" si="0"/>
        <v xml:space="preserve">Результативність участі в заходах. </v>
      </c>
      <c r="N36" s="111" t="str">
        <f t="shared" si="10"/>
        <v/>
      </c>
      <c r="O36" s="111"/>
      <c r="P36" s="111" t="str">
        <f t="shared" si="11"/>
        <v/>
      </c>
      <c r="Q36" s="111" t="str">
        <f t="shared" si="12"/>
        <v/>
      </c>
      <c r="S36" s="112" t="str">
        <f>IF(M36="","","К22  ")</f>
        <v xml:space="preserve">К22  </v>
      </c>
      <c r="T36" s="112" t="str">
        <f>IF(N36="","","К22  ")</f>
        <v/>
      </c>
      <c r="U36" s="112" t="str">
        <f>IF(O36="","","К22  ")</f>
        <v/>
      </c>
      <c r="V36" s="112" t="str">
        <f>IF(P36="","","К22  ")</f>
        <v/>
      </c>
      <c r="W36" s="112" t="str">
        <f>IF(Q36="","","К22  ")</f>
        <v/>
      </c>
      <c r="Y36" s="112"/>
      <c r="Z36" s="121"/>
      <c r="AA36" s="121"/>
      <c r="AB36" s="121"/>
      <c r="AC36" s="121"/>
      <c r="AD36" s="121"/>
      <c r="AE36" s="121"/>
      <c r="AF36" s="121"/>
      <c r="AG36" s="121"/>
      <c r="AH36" s="121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76" t="s">
        <v>96</v>
      </c>
    </row>
    <row r="37" spans="1:46">
      <c r="A37" s="31">
        <v>23</v>
      </c>
      <c r="B37" s="182" t="str">
        <f>Бланк!B31</f>
        <v>Організація культурно-дозвіллєвої діяльності вихованців</v>
      </c>
      <c r="C37" s="183"/>
      <c r="D37" s="106">
        <f>Бланк!C31</f>
        <v>0.04</v>
      </c>
      <c r="E37" s="198">
        <v>3</v>
      </c>
      <c r="F37" s="198">
        <v>3</v>
      </c>
      <c r="G37" s="198">
        <v>3</v>
      </c>
      <c r="H37" s="107">
        <f t="shared" si="27"/>
        <v>3</v>
      </c>
      <c r="I37" s="98">
        <f t="shared" si="28"/>
        <v>0.03</v>
      </c>
      <c r="J37" s="99"/>
      <c r="K37" s="99"/>
      <c r="L37" s="110">
        <v>23</v>
      </c>
      <c r="M37" s="111" t="str">
        <f t="shared" si="0"/>
        <v/>
      </c>
      <c r="N37" s="111" t="str">
        <f t="shared" si="10"/>
        <v xml:space="preserve">Культурне дозвілля. </v>
      </c>
      <c r="O37" s="111"/>
      <c r="P37" s="111" t="str">
        <f t="shared" si="11"/>
        <v/>
      </c>
      <c r="Q37" s="111" t="str">
        <f t="shared" si="12"/>
        <v/>
      </c>
      <c r="S37" s="112" t="str">
        <f>IF(M37="","","К23  ")</f>
        <v/>
      </c>
      <c r="T37" s="112" t="str">
        <f>IF(N37="","","К23  ")</f>
        <v xml:space="preserve">К23  </v>
      </c>
      <c r="U37" s="112" t="str">
        <f>IF(O37="","","К23  ")</f>
        <v/>
      </c>
      <c r="V37" s="112" t="str">
        <f>IF(P37="","","К23  ")</f>
        <v/>
      </c>
      <c r="W37" s="112" t="str">
        <f>IF(Q37="","","К23  ")</f>
        <v/>
      </c>
      <c r="Y37" s="112"/>
      <c r="Z37" s="121"/>
      <c r="AA37" s="121"/>
      <c r="AB37" s="121"/>
      <c r="AC37" s="121"/>
      <c r="AD37" s="121"/>
      <c r="AE37" s="121"/>
      <c r="AF37" s="121"/>
      <c r="AG37" s="121"/>
      <c r="AH37" s="121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76" t="s">
        <v>97</v>
      </c>
    </row>
    <row r="38" spans="1:46" ht="36.75" customHeight="1">
      <c r="A38" s="31">
        <v>24</v>
      </c>
      <c r="B38" s="182" t="str">
        <f>Бланк!B32</f>
        <v>Участь органів учнівського самоврядування в управлінні закладом</v>
      </c>
      <c r="C38" s="183"/>
      <c r="D38" s="106">
        <f>Бланк!C32</f>
        <v>0.05</v>
      </c>
      <c r="E38" s="198">
        <v>1</v>
      </c>
      <c r="F38" s="198">
        <v>0</v>
      </c>
      <c r="G38" s="198">
        <v>2</v>
      </c>
      <c r="H38" s="107">
        <f t="shared" si="27"/>
        <v>1</v>
      </c>
      <c r="I38" s="98">
        <f t="shared" si="28"/>
        <v>1.2500000000000001E-2</v>
      </c>
      <c r="J38" s="99"/>
      <c r="K38" s="99"/>
      <c r="L38" s="110">
        <v>24</v>
      </c>
      <c r="M38" s="111" t="str">
        <f t="shared" si="0"/>
        <v/>
      </c>
      <c r="N38" s="111" t="str">
        <f t="shared" si="10"/>
        <v/>
      </c>
      <c r="O38" s="111"/>
      <c r="P38" s="111" t="str">
        <f t="shared" si="11"/>
        <v xml:space="preserve">Учнівське самоврядування. </v>
      </c>
      <c r="Q38" s="111" t="str">
        <f t="shared" si="12"/>
        <v/>
      </c>
      <c r="S38" s="112" t="str">
        <f>IF(M38="","","К24  ")</f>
        <v/>
      </c>
      <c r="T38" s="112" t="str">
        <f>IF(N38="","","К24  ")</f>
        <v/>
      </c>
      <c r="U38" s="112" t="str">
        <f>IF(O38="","","К24  ")</f>
        <v/>
      </c>
      <c r="V38" s="112" t="str">
        <f>IF(P38="","","К24  ")</f>
        <v xml:space="preserve">К24  </v>
      </c>
      <c r="W38" s="112" t="str">
        <f>IF(Q38="","","К24  ")</f>
        <v/>
      </c>
      <c r="Y38" s="112"/>
      <c r="Z38" s="121"/>
      <c r="AA38" s="121"/>
      <c r="AB38" s="121"/>
      <c r="AC38" s="121"/>
      <c r="AD38" s="121"/>
      <c r="AE38" s="121"/>
      <c r="AF38" s="121"/>
      <c r="AG38" s="121"/>
      <c r="AH38" s="121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76" t="s">
        <v>98</v>
      </c>
    </row>
    <row r="39" spans="1:46" ht="34.5" customHeight="1">
      <c r="A39" s="31">
        <v>25</v>
      </c>
      <c r="B39" s="182" t="str">
        <f>Бланк!B33</f>
        <v>Створення сприятливого соціально-психологічного клімату</v>
      </c>
      <c r="C39" s="183"/>
      <c r="D39" s="106">
        <f>Бланк!C33</f>
        <v>0.03</v>
      </c>
      <c r="E39" s="198">
        <v>2</v>
      </c>
      <c r="F39" s="198">
        <v>4</v>
      </c>
      <c r="G39" s="198">
        <v>3</v>
      </c>
      <c r="H39" s="107">
        <f t="shared" si="27"/>
        <v>3</v>
      </c>
      <c r="I39" s="98">
        <f t="shared" si="28"/>
        <v>2.2499999999999999E-2</v>
      </c>
      <c r="J39" s="99"/>
      <c r="K39" s="99"/>
      <c r="L39" s="110">
        <v>25</v>
      </c>
      <c r="M39" s="111" t="str">
        <f t="shared" si="0"/>
        <v/>
      </c>
      <c r="N39" s="111" t="str">
        <f t="shared" si="10"/>
        <v xml:space="preserve">Соціально-психологічний клімат. </v>
      </c>
      <c r="O39" s="111"/>
      <c r="P39" s="111" t="str">
        <f t="shared" si="11"/>
        <v/>
      </c>
      <c r="Q39" s="111" t="str">
        <f t="shared" si="12"/>
        <v/>
      </c>
      <c r="S39" s="112" t="str">
        <f>IF(M39="","","К25  ")</f>
        <v/>
      </c>
      <c r="T39" s="112" t="str">
        <f>IF(N39="","","К25  ")</f>
        <v xml:space="preserve">К25  </v>
      </c>
      <c r="U39" s="112" t="str">
        <f>IF(O39="","","К25  ")</f>
        <v/>
      </c>
      <c r="V39" s="112" t="str">
        <f>IF(P39="","","К25  ")</f>
        <v/>
      </c>
      <c r="W39" s="112" t="str">
        <f>IF(Q39="","","К25  ")</f>
        <v/>
      </c>
      <c r="Y39" s="112"/>
      <c r="Z39" s="121"/>
      <c r="AA39" s="121"/>
      <c r="AB39" s="121"/>
      <c r="AC39" s="121"/>
      <c r="AD39" s="121"/>
      <c r="AE39" s="121"/>
      <c r="AF39" s="121"/>
      <c r="AG39" s="121"/>
      <c r="AH39" s="121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76" t="s">
        <v>127</v>
      </c>
    </row>
    <row r="40" spans="1:46">
      <c r="A40" s="31">
        <v>26</v>
      </c>
      <c r="B40" s="182" t="str">
        <f>Бланк!B34</f>
        <v>Міжнародна співпраця</v>
      </c>
      <c r="C40" s="183"/>
      <c r="D40" s="106">
        <f>Бланк!C34</f>
        <v>0.02</v>
      </c>
      <c r="E40" s="198">
        <v>1</v>
      </c>
      <c r="F40" s="198">
        <v>3</v>
      </c>
      <c r="G40" s="198">
        <v>3</v>
      </c>
      <c r="H40" s="107">
        <f t="shared" si="27"/>
        <v>2.3333333333333335</v>
      </c>
      <c r="I40" s="98">
        <f t="shared" si="28"/>
        <v>1.1666666666666667E-2</v>
      </c>
      <c r="J40" s="99"/>
      <c r="K40" s="99"/>
      <c r="L40" s="110">
        <v>26</v>
      </c>
      <c r="M40" s="111" t="str">
        <f t="shared" si="0"/>
        <v/>
      </c>
      <c r="N40" s="111" t="str">
        <f t="shared" si="10"/>
        <v/>
      </c>
      <c r="O40" s="111"/>
      <c r="P40" s="111" t="str">
        <f t="shared" si="11"/>
        <v/>
      </c>
      <c r="Q40" s="111" t="str">
        <f t="shared" si="12"/>
        <v/>
      </c>
      <c r="S40" s="112" t="str">
        <f>IF(M40="","","К26  ")</f>
        <v/>
      </c>
      <c r="T40" s="112" t="str">
        <f>IF(N40="","","К26  ")</f>
        <v/>
      </c>
      <c r="U40" s="112" t="str">
        <f>IF(O40="","","К26  ")</f>
        <v/>
      </c>
      <c r="V40" s="112" t="str">
        <f>IF(P40="","","К26  ")</f>
        <v/>
      </c>
      <c r="W40" s="112" t="str">
        <f>IF(Q40="","","К26  ")</f>
        <v/>
      </c>
      <c r="Y40" s="112"/>
      <c r="Z40" s="121"/>
      <c r="AA40" s="121"/>
      <c r="AB40" s="121"/>
      <c r="AC40" s="121"/>
      <c r="AD40" s="121"/>
      <c r="AE40" s="121"/>
      <c r="AF40" s="121"/>
      <c r="AG40" s="121"/>
      <c r="AH40" s="121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76" t="s">
        <v>99</v>
      </c>
    </row>
    <row r="41" spans="1:46">
      <c r="A41" s="34" t="s">
        <v>20</v>
      </c>
      <c r="B41" s="173" t="str">
        <f>Бланк!B35</f>
        <v>Робота з педагогічними кадрами</v>
      </c>
      <c r="C41" s="175"/>
      <c r="D41" s="27">
        <v>0.14000000000000001</v>
      </c>
      <c r="E41" s="31"/>
      <c r="F41" s="31"/>
      <c r="G41" s="31"/>
      <c r="H41" s="107"/>
      <c r="I41" s="100">
        <f>L41*D41</f>
        <v>0.10511666666666668</v>
      </c>
      <c r="J41" s="101"/>
      <c r="K41" s="109">
        <f>AVERAGE(H42:H51)</f>
        <v>3</v>
      </c>
      <c r="L41" s="102">
        <f>SUM(I42:I51)</f>
        <v>0.75083333333333335</v>
      </c>
      <c r="M41" s="125"/>
      <c r="N41" s="125"/>
      <c r="O41" s="125"/>
      <c r="P41" s="125"/>
      <c r="Q41" s="125"/>
      <c r="S41" s="126"/>
      <c r="T41" s="126"/>
      <c r="U41" s="126"/>
      <c r="V41" s="126"/>
      <c r="W41" s="126"/>
      <c r="X41" s="127"/>
      <c r="Y41" s="112"/>
      <c r="Z41" s="121"/>
      <c r="AA41" s="121"/>
      <c r="AB41" s="121"/>
      <c r="AC41" s="121"/>
      <c r="AD41" s="121"/>
      <c r="AE41" s="121"/>
      <c r="AF41" s="121"/>
      <c r="AG41" s="121"/>
      <c r="AH41" s="121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77"/>
    </row>
    <row r="42" spans="1:46">
      <c r="A42" s="31">
        <v>27</v>
      </c>
      <c r="B42" s="182" t="str">
        <f>Бланк!B36</f>
        <v>Забезпеченість закладу педагогічними працівниками</v>
      </c>
      <c r="C42" s="183"/>
      <c r="D42" s="106">
        <f>Бланк!C36</f>
        <v>0.13</v>
      </c>
      <c r="E42" s="198">
        <v>2</v>
      </c>
      <c r="F42" s="198">
        <v>3</v>
      </c>
      <c r="G42" s="198">
        <v>4</v>
      </c>
      <c r="H42" s="107">
        <f t="shared" ref="H42:H51" si="30">IF(E42="","",AVERAGE(E42:G42))</f>
        <v>3</v>
      </c>
      <c r="I42" s="98">
        <f t="shared" ref="I42:I51" si="31">IF(E42="","",H42*D42/4)</f>
        <v>9.7500000000000003E-2</v>
      </c>
      <c r="J42" s="99"/>
      <c r="K42" s="99"/>
      <c r="L42" s="110">
        <v>27</v>
      </c>
      <c r="M42" s="111" t="str">
        <f t="shared" si="0"/>
        <v/>
      </c>
      <c r="N42" s="111" t="str">
        <f t="shared" si="10"/>
        <v xml:space="preserve">Забезпеченість кадрами. </v>
      </c>
      <c r="O42" s="111"/>
      <c r="P42" s="111" t="str">
        <f t="shared" si="11"/>
        <v/>
      </c>
      <c r="Q42" s="111" t="str">
        <f t="shared" si="12"/>
        <v/>
      </c>
      <c r="S42" s="112" t="str">
        <f>IF(M42="","","К27  ")</f>
        <v/>
      </c>
      <c r="T42" s="112" t="str">
        <f>IF(N42="","","К27  ")</f>
        <v xml:space="preserve">К27  </v>
      </c>
      <c r="U42" s="112" t="str">
        <f>IF(O42="","","К27  ")</f>
        <v/>
      </c>
      <c r="V42" s="112" t="str">
        <f>IF(P42="","","К27  ")</f>
        <v/>
      </c>
      <c r="W42" s="112" t="str">
        <f>IF(Q42="","","К27  ")</f>
        <v/>
      </c>
      <c r="Y42" s="113" t="str">
        <f>CONCATENATE(S42,S43,S44,S45,S46)</f>
        <v/>
      </c>
      <c r="Z42" s="113" t="str">
        <f>CONCATENATE(T42,T43,T44,T45,T46)</f>
        <v xml:space="preserve">К27  К28  К29  К30  К31  </v>
      </c>
      <c r="AA42" s="113" t="str">
        <f>CONCATENATE(U42,U43,U44,U45,U46)</f>
        <v/>
      </c>
      <c r="AB42" s="113" t="str">
        <f>CONCATENATE(V42,V43,V44,V45,V46)</f>
        <v/>
      </c>
      <c r="AC42" s="113" t="str">
        <f>CONCATENATE(W42,W43,W44,W45,W46)</f>
        <v/>
      </c>
      <c r="AD42" s="114" t="str">
        <f>CONCATENATE(Y42,Y43)</f>
        <v/>
      </c>
      <c r="AE42" s="114" t="str">
        <f>CONCATENATE(Z42,Z43)</f>
        <v xml:space="preserve">К27  К28  К29  К30  К31  К32  К33  К35  К36  </v>
      </c>
      <c r="AF42" s="114" t="str">
        <f>CONCATENATE(AA42,AA43)</f>
        <v/>
      </c>
      <c r="AG42" s="114" t="str">
        <f>CONCATENATE(AB42,AB43)</f>
        <v/>
      </c>
      <c r="AH42" s="114" t="str">
        <f>CONCATENATE(AC42,AC43)</f>
        <v/>
      </c>
      <c r="AI42" s="115" t="s">
        <v>72</v>
      </c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76" t="s">
        <v>100</v>
      </c>
    </row>
    <row r="43" spans="1:46" ht="35.25" customHeight="1">
      <c r="A43" s="31">
        <v>28</v>
      </c>
      <c r="B43" s="182" t="str">
        <f>Бланк!B37</f>
        <v>Оптимальність розподілу та розміщення педагогічних кадрів,  розподілу педагогічного навантаження</v>
      </c>
      <c r="C43" s="183"/>
      <c r="D43" s="106">
        <f>Бланк!C37</f>
        <v>0.1</v>
      </c>
      <c r="E43" s="198">
        <v>3</v>
      </c>
      <c r="F43" s="198">
        <v>3</v>
      </c>
      <c r="G43" s="198">
        <v>4</v>
      </c>
      <c r="H43" s="107">
        <f t="shared" si="30"/>
        <v>3.3333333333333335</v>
      </c>
      <c r="I43" s="98">
        <f t="shared" si="31"/>
        <v>8.3333333333333343E-2</v>
      </c>
      <c r="J43" s="99"/>
      <c r="K43" s="99"/>
      <c r="L43" s="110">
        <v>28</v>
      </c>
      <c r="M43" s="111" t="str">
        <f t="shared" si="0"/>
        <v/>
      </c>
      <c r="N43" s="111" t="str">
        <f t="shared" si="10"/>
        <v xml:space="preserve">Розподіл педкадрів. </v>
      </c>
      <c r="O43" s="111"/>
      <c r="P43" s="111" t="str">
        <f t="shared" si="11"/>
        <v/>
      </c>
      <c r="Q43" s="111" t="str">
        <f t="shared" si="12"/>
        <v/>
      </c>
      <c r="S43" s="112" t="str">
        <f>IF(M43="","","К28  ")</f>
        <v/>
      </c>
      <c r="T43" s="112" t="str">
        <f>IF(N43="","","К28  ")</f>
        <v xml:space="preserve">К28  </v>
      </c>
      <c r="U43" s="112" t="str">
        <f>IF(O43="","","К28  ")</f>
        <v/>
      </c>
      <c r="V43" s="112" t="str">
        <f>IF(P43="","","К28  ")</f>
        <v/>
      </c>
      <c r="W43" s="112" t="str">
        <f>IF(Q43="","","К28  ")</f>
        <v/>
      </c>
      <c r="Y43" s="113" t="str">
        <f>CONCATENATE(S47,S48,S49,S50,S51)</f>
        <v/>
      </c>
      <c r="Z43" s="113" t="str">
        <f>CONCATENATE(T47,T48,T49,T50,T51)</f>
        <v xml:space="preserve">К32  К33  К35  К36  </v>
      </c>
      <c r="AA43" s="113" t="str">
        <f>CONCATENATE(U47,U48,U49,U50,U51)</f>
        <v/>
      </c>
      <c r="AB43" s="113" t="str">
        <f>CONCATENATE(V47,V48,V49,V50,V51)</f>
        <v/>
      </c>
      <c r="AC43" s="113" t="str">
        <f>CONCATENATE(W47,W48,W49,W50,W51)</f>
        <v/>
      </c>
      <c r="AD43" s="121"/>
      <c r="AE43" s="121"/>
      <c r="AF43" s="121"/>
      <c r="AG43" s="121"/>
      <c r="AH43" s="121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76" t="s">
        <v>101</v>
      </c>
    </row>
    <row r="44" spans="1:46">
      <c r="A44" s="31">
        <v>29</v>
      </c>
      <c r="B44" s="182" t="str">
        <f>Бланк!B38</f>
        <v>Стабільності складу педагогічного колективу</v>
      </c>
      <c r="C44" s="183"/>
      <c r="D44" s="106">
        <f>Бланк!C38</f>
        <v>0.1</v>
      </c>
      <c r="E44" s="198">
        <v>3</v>
      </c>
      <c r="F44" s="198">
        <v>3</v>
      </c>
      <c r="G44" s="198">
        <v>4</v>
      </c>
      <c r="H44" s="107">
        <f t="shared" si="30"/>
        <v>3.3333333333333335</v>
      </c>
      <c r="I44" s="98">
        <f t="shared" si="31"/>
        <v>8.3333333333333343E-2</v>
      </c>
      <c r="J44" s="99"/>
      <c r="K44" s="99"/>
      <c r="L44" s="110">
        <v>29</v>
      </c>
      <c r="M44" s="111" t="str">
        <f t="shared" si="0"/>
        <v/>
      </c>
      <c r="N44" s="111" t="str">
        <f t="shared" si="10"/>
        <v xml:space="preserve">Стабільність педскладу. </v>
      </c>
      <c r="O44" s="111"/>
      <c r="P44" s="111" t="str">
        <f t="shared" si="11"/>
        <v/>
      </c>
      <c r="Q44" s="111" t="str">
        <f t="shared" si="12"/>
        <v/>
      </c>
      <c r="S44" s="112" t="str">
        <f>IF(M44="","","К29  ")</f>
        <v/>
      </c>
      <c r="T44" s="112" t="str">
        <f>IF(N44="","","К29  ")</f>
        <v xml:space="preserve">К29  </v>
      </c>
      <c r="U44" s="112" t="str">
        <f>IF(O44="","","К29  ")</f>
        <v/>
      </c>
      <c r="V44" s="112" t="str">
        <f>IF(P44="","","К29  ")</f>
        <v/>
      </c>
      <c r="W44" s="112" t="str">
        <f>IF(Q44="","","К29  ")</f>
        <v/>
      </c>
      <c r="Y44" s="112"/>
      <c r="Z44" s="121"/>
      <c r="AA44" s="121"/>
      <c r="AB44" s="121"/>
      <c r="AC44" s="121"/>
      <c r="AD44" s="121"/>
      <c r="AE44" s="121"/>
      <c r="AF44" s="121"/>
      <c r="AG44" s="121"/>
      <c r="AH44" s="121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76" t="s">
        <v>102</v>
      </c>
    </row>
    <row r="45" spans="1:46">
      <c r="A45" s="31">
        <v>30</v>
      </c>
      <c r="B45" s="182" t="str">
        <f>Бланк!B39</f>
        <v>Робота з молодими спеціалістами</v>
      </c>
      <c r="C45" s="183"/>
      <c r="D45" s="106">
        <f>Бланк!C39</f>
        <v>0.06</v>
      </c>
      <c r="E45" s="198">
        <v>3</v>
      </c>
      <c r="F45" s="198">
        <v>3</v>
      </c>
      <c r="G45" s="198">
        <v>3</v>
      </c>
      <c r="H45" s="107">
        <f t="shared" si="30"/>
        <v>3</v>
      </c>
      <c r="I45" s="98">
        <f t="shared" si="31"/>
        <v>4.4999999999999998E-2</v>
      </c>
      <c r="J45" s="99"/>
      <c r="K45" s="99"/>
      <c r="L45" s="110">
        <v>30</v>
      </c>
      <c r="M45" s="111" t="str">
        <f t="shared" si="0"/>
        <v/>
      </c>
      <c r="N45" s="111" t="str">
        <f t="shared" si="10"/>
        <v xml:space="preserve">Робота з молодими спеціалістами. </v>
      </c>
      <c r="O45" s="111"/>
      <c r="P45" s="111" t="str">
        <f t="shared" si="11"/>
        <v/>
      </c>
      <c r="Q45" s="111" t="str">
        <f t="shared" si="12"/>
        <v/>
      </c>
      <c r="S45" s="112" t="str">
        <f>IF(M45="","","К30  ")</f>
        <v/>
      </c>
      <c r="T45" s="112" t="str">
        <f>IF(N45="","","К30  ")</f>
        <v xml:space="preserve">К30  </v>
      </c>
      <c r="U45" s="112" t="str">
        <f>IF(O45="","","К30  ")</f>
        <v/>
      </c>
      <c r="V45" s="112" t="str">
        <f>IF(P45="","","К30  ")</f>
        <v/>
      </c>
      <c r="W45" s="112" t="str">
        <f>IF(Q45="","","К30  ")</f>
        <v/>
      </c>
      <c r="Y45" s="112"/>
      <c r="Z45" s="121"/>
      <c r="AA45" s="121"/>
      <c r="AB45" s="121"/>
      <c r="AC45" s="121"/>
      <c r="AD45" s="121"/>
      <c r="AE45" s="121"/>
      <c r="AF45" s="121"/>
      <c r="AG45" s="121"/>
      <c r="AH45" s="121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76" t="s">
        <v>103</v>
      </c>
    </row>
    <row r="46" spans="1:46" ht="36.75" customHeight="1">
      <c r="A46" s="31">
        <v>31</v>
      </c>
      <c r="B46" s="182" t="str">
        <f>Бланк!B40</f>
        <v>Створення системи методичного супроводу освітнього процесу</v>
      </c>
      <c r="C46" s="183"/>
      <c r="D46" s="106">
        <f>Бланк!C40</f>
        <v>0.17</v>
      </c>
      <c r="E46" s="198">
        <v>3</v>
      </c>
      <c r="F46" s="198">
        <v>3</v>
      </c>
      <c r="G46" s="198">
        <v>2</v>
      </c>
      <c r="H46" s="107">
        <f t="shared" si="30"/>
        <v>2.6666666666666665</v>
      </c>
      <c r="I46" s="98">
        <f t="shared" si="31"/>
        <v>0.11333333333333334</v>
      </c>
      <c r="J46" s="99"/>
      <c r="K46" s="99"/>
      <c r="L46" s="110">
        <v>31</v>
      </c>
      <c r="M46" s="111" t="str">
        <f t="shared" si="0"/>
        <v/>
      </c>
      <c r="N46" s="111" t="str">
        <f t="shared" si="10"/>
        <v xml:space="preserve">Методичний супровід. </v>
      </c>
      <c r="O46" s="111"/>
      <c r="P46" s="111" t="str">
        <f t="shared" si="11"/>
        <v/>
      </c>
      <c r="Q46" s="111" t="str">
        <f t="shared" si="12"/>
        <v/>
      </c>
      <c r="S46" s="112" t="str">
        <f>IF(M46="","","К31  ")</f>
        <v/>
      </c>
      <c r="T46" s="112" t="str">
        <f>IF(N46="","","К31  ")</f>
        <v xml:space="preserve">К31  </v>
      </c>
      <c r="U46" s="112" t="str">
        <f>IF(O46="","","К31  ")</f>
        <v/>
      </c>
      <c r="V46" s="112" t="str">
        <f>IF(P46="","","К31  ")</f>
        <v/>
      </c>
      <c r="W46" s="112" t="str">
        <f>IF(Q46="","","К31  ")</f>
        <v/>
      </c>
      <c r="Y46" s="112"/>
      <c r="Z46" s="121"/>
      <c r="AA46" s="121"/>
      <c r="AB46" s="121"/>
      <c r="AC46" s="121"/>
      <c r="AD46" s="121"/>
      <c r="AE46" s="121"/>
      <c r="AF46" s="121"/>
      <c r="AG46" s="121"/>
      <c r="AH46" s="121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76" t="s">
        <v>104</v>
      </c>
    </row>
    <row r="47" spans="1:46" ht="37.5" customHeight="1">
      <c r="A47" s="31">
        <v>32</v>
      </c>
      <c r="B47" s="182" t="str">
        <f>Бланк!B41</f>
        <v>Створення сприятливого мотиваційного середовища в закладі</v>
      </c>
      <c r="C47" s="183"/>
      <c r="D47" s="106">
        <f>Бланк!C41</f>
        <v>0.1</v>
      </c>
      <c r="E47" s="198">
        <v>2</v>
      </c>
      <c r="F47" s="198">
        <v>4</v>
      </c>
      <c r="G47" s="198">
        <v>3</v>
      </c>
      <c r="H47" s="107">
        <f t="shared" si="30"/>
        <v>3</v>
      </c>
      <c r="I47" s="98">
        <f t="shared" si="31"/>
        <v>7.5000000000000011E-2</v>
      </c>
      <c r="J47" s="99"/>
      <c r="K47" s="99"/>
      <c r="L47" s="110">
        <v>32</v>
      </c>
      <c r="M47" s="111" t="str">
        <f t="shared" si="0"/>
        <v/>
      </c>
      <c r="N47" s="111" t="str">
        <f t="shared" si="10"/>
        <v xml:space="preserve">Мотиваційне середовище. </v>
      </c>
      <c r="O47" s="111"/>
      <c r="P47" s="111" t="str">
        <f t="shared" si="11"/>
        <v/>
      </c>
      <c r="Q47" s="111" t="str">
        <f t="shared" si="12"/>
        <v/>
      </c>
      <c r="S47" s="112" t="str">
        <f>IF(M47="","","К32  ")</f>
        <v/>
      </c>
      <c r="T47" s="112" t="str">
        <f>IF(N47="","","К32  ")</f>
        <v xml:space="preserve">К32  </v>
      </c>
      <c r="U47" s="112" t="str">
        <f>IF(O47="","","К32  ")</f>
        <v/>
      </c>
      <c r="V47" s="112" t="str">
        <f>IF(P47="","","К32  ")</f>
        <v/>
      </c>
      <c r="W47" s="112" t="str">
        <f>IF(Q47="","","К32  ")</f>
        <v/>
      </c>
      <c r="Y47" s="112"/>
      <c r="Z47" s="121"/>
      <c r="AA47" s="121"/>
      <c r="AB47" s="121"/>
      <c r="AC47" s="121"/>
      <c r="AD47" s="121"/>
      <c r="AE47" s="121"/>
      <c r="AF47" s="121"/>
      <c r="AG47" s="121"/>
      <c r="AH47" s="121"/>
      <c r="AI47" s="115"/>
      <c r="AJ47" s="115"/>
      <c r="AK47" s="115"/>
      <c r="AL47" s="115"/>
      <c r="AM47" s="115"/>
      <c r="AN47" s="115"/>
      <c r="AO47" s="115"/>
      <c r="AP47" s="115"/>
      <c r="AQ47" s="115"/>
      <c r="AR47" s="115"/>
      <c r="AS47" s="115"/>
      <c r="AT47" s="76" t="s">
        <v>105</v>
      </c>
    </row>
    <row r="48" spans="1:46" ht="18.75" customHeight="1">
      <c r="A48" s="31">
        <v>33</v>
      </c>
      <c r="B48" s="182" t="str">
        <f>Бланк!B42</f>
        <v>Готовність педколективу до інноваційної діяльності</v>
      </c>
      <c r="C48" s="183"/>
      <c r="D48" s="106">
        <f>Бланк!C42</f>
        <v>0.09</v>
      </c>
      <c r="E48" s="198">
        <v>2</v>
      </c>
      <c r="F48" s="198">
        <v>4</v>
      </c>
      <c r="G48" s="198">
        <v>2</v>
      </c>
      <c r="H48" s="107">
        <f t="shared" si="30"/>
        <v>2.6666666666666665</v>
      </c>
      <c r="I48" s="98">
        <f t="shared" si="31"/>
        <v>0.06</v>
      </c>
      <c r="J48" s="99"/>
      <c r="K48" s="99"/>
      <c r="L48" s="110">
        <v>33</v>
      </c>
      <c r="M48" s="111" t="str">
        <f t="shared" si="0"/>
        <v/>
      </c>
      <c r="N48" s="111" t="str">
        <f t="shared" si="10"/>
        <v xml:space="preserve">Готовність до інновацій. </v>
      </c>
      <c r="O48" s="111"/>
      <c r="P48" s="111" t="str">
        <f t="shared" si="11"/>
        <v/>
      </c>
      <c r="Q48" s="111" t="str">
        <f t="shared" si="12"/>
        <v/>
      </c>
      <c r="S48" s="112" t="str">
        <f>IF(M48="","","К33  ")</f>
        <v/>
      </c>
      <c r="T48" s="112" t="str">
        <f>IF(N48="","","К33  ")</f>
        <v xml:space="preserve">К33  </v>
      </c>
      <c r="U48" s="112" t="str">
        <f>IF(O48="","","К33  ")</f>
        <v/>
      </c>
      <c r="V48" s="112" t="str">
        <f>IF(P48="","","К33  ")</f>
        <v/>
      </c>
      <c r="W48" s="112" t="str">
        <f>IF(Q48="","","К33  ")</f>
        <v/>
      </c>
      <c r="Y48" s="112"/>
      <c r="Z48" s="121"/>
      <c r="AA48" s="121"/>
      <c r="AB48" s="121"/>
      <c r="AC48" s="121"/>
      <c r="AD48" s="121"/>
      <c r="AE48" s="121"/>
      <c r="AF48" s="121"/>
      <c r="AG48" s="121"/>
      <c r="AH48" s="121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76" t="s">
        <v>106</v>
      </c>
    </row>
    <row r="49" spans="1:46">
      <c r="A49" s="31">
        <v>34</v>
      </c>
      <c r="B49" s="182" t="str">
        <f>Бланк!B43</f>
        <v>Оптимальність способів розв’язання конфліктів у колективі</v>
      </c>
      <c r="C49" s="183"/>
      <c r="D49" s="106">
        <f>Бланк!C43</f>
        <v>0.06</v>
      </c>
      <c r="E49" s="198">
        <v>2</v>
      </c>
      <c r="F49" s="198">
        <v>3</v>
      </c>
      <c r="G49" s="198">
        <v>2</v>
      </c>
      <c r="H49" s="107">
        <f t="shared" si="30"/>
        <v>2.3333333333333335</v>
      </c>
      <c r="I49" s="98">
        <f t="shared" si="31"/>
        <v>3.5000000000000003E-2</v>
      </c>
      <c r="J49" s="99"/>
      <c r="K49" s="99"/>
      <c r="L49" s="110">
        <v>34</v>
      </c>
      <c r="M49" s="111" t="str">
        <f t="shared" si="0"/>
        <v/>
      </c>
      <c r="N49" s="111" t="str">
        <f t="shared" si="10"/>
        <v/>
      </c>
      <c r="O49" s="111"/>
      <c r="P49" s="111" t="str">
        <f t="shared" si="11"/>
        <v/>
      </c>
      <c r="Q49" s="111" t="str">
        <f t="shared" si="12"/>
        <v/>
      </c>
      <c r="S49" s="112" t="str">
        <f>IF(M49="","","К34  ")</f>
        <v/>
      </c>
      <c r="T49" s="112" t="str">
        <f>IF(N49="","","К34  ")</f>
        <v/>
      </c>
      <c r="U49" s="112" t="str">
        <f>IF(O49="","","К34  ")</f>
        <v/>
      </c>
      <c r="V49" s="112" t="str">
        <f>IF(P49="","","К34  ")</f>
        <v/>
      </c>
      <c r="W49" s="112" t="str">
        <f>IF(Q49="","","К34  ")</f>
        <v/>
      </c>
      <c r="Y49" s="112"/>
      <c r="Z49" s="121"/>
      <c r="AA49" s="121"/>
      <c r="AB49" s="121"/>
      <c r="AC49" s="121"/>
      <c r="AD49" s="121"/>
      <c r="AE49" s="121"/>
      <c r="AF49" s="121"/>
      <c r="AG49" s="121"/>
      <c r="AH49" s="121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76" t="s">
        <v>107</v>
      </c>
    </row>
    <row r="50" spans="1:46">
      <c r="A50" s="31">
        <v>35</v>
      </c>
      <c r="B50" s="182" t="str">
        <f>Бланк!B44</f>
        <v>Командна взаємодія педагогів з дітьми</v>
      </c>
      <c r="C50" s="183"/>
      <c r="D50" s="106">
        <f>Бланк!C44</f>
        <v>0.09</v>
      </c>
      <c r="E50" s="198">
        <v>3</v>
      </c>
      <c r="F50" s="198">
        <v>4</v>
      </c>
      <c r="G50" s="198">
        <v>3</v>
      </c>
      <c r="H50" s="107">
        <f t="shared" si="30"/>
        <v>3.3333333333333335</v>
      </c>
      <c r="I50" s="98">
        <f t="shared" si="31"/>
        <v>7.4999999999999997E-2</v>
      </c>
      <c r="J50" s="99"/>
      <c r="K50" s="99"/>
      <c r="L50" s="110">
        <v>35</v>
      </c>
      <c r="M50" s="111" t="str">
        <f t="shared" si="0"/>
        <v/>
      </c>
      <c r="N50" s="111" t="str">
        <f t="shared" si="10"/>
        <v xml:space="preserve">Взаємодія з дітьми. </v>
      </c>
      <c r="O50" s="111"/>
      <c r="P50" s="111" t="str">
        <f t="shared" si="11"/>
        <v/>
      </c>
      <c r="Q50" s="111" t="str">
        <f t="shared" si="12"/>
        <v/>
      </c>
      <c r="S50" s="112" t="str">
        <f>IF(M50="","","К35  ")</f>
        <v/>
      </c>
      <c r="T50" s="112" t="str">
        <f>IF(N50="","","К35  ")</f>
        <v xml:space="preserve">К35  </v>
      </c>
      <c r="U50" s="112" t="str">
        <f>IF(O50="","","К35  ")</f>
        <v/>
      </c>
      <c r="V50" s="112" t="str">
        <f>IF(P50="","","К35  ")</f>
        <v/>
      </c>
      <c r="W50" s="112" t="str">
        <f>IF(Q50="","","К35  ")</f>
        <v/>
      </c>
      <c r="Y50" s="112"/>
      <c r="Z50" s="121"/>
      <c r="AA50" s="121"/>
      <c r="AB50" s="121"/>
      <c r="AC50" s="121"/>
      <c r="AD50" s="121"/>
      <c r="AE50" s="121"/>
      <c r="AF50" s="121"/>
      <c r="AG50" s="121"/>
      <c r="AH50" s="121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76" t="s">
        <v>108</v>
      </c>
    </row>
    <row r="51" spans="1:46">
      <c r="A51" s="31">
        <v>36</v>
      </c>
      <c r="B51" s="182" t="str">
        <f>Бланк!B45</f>
        <v>Забезпечення безперервної освіти педагогічних кадрів</v>
      </c>
      <c r="C51" s="183"/>
      <c r="D51" s="106">
        <f>Бланк!C45</f>
        <v>0.1</v>
      </c>
      <c r="E51" s="198">
        <v>2</v>
      </c>
      <c r="F51" s="198">
        <v>4</v>
      </c>
      <c r="G51" s="198">
        <v>4</v>
      </c>
      <c r="H51" s="107">
        <f t="shared" si="30"/>
        <v>3.3333333333333335</v>
      </c>
      <c r="I51" s="98">
        <f t="shared" si="31"/>
        <v>8.3333333333333343E-2</v>
      </c>
      <c r="J51" s="99"/>
      <c r="K51" s="99"/>
      <c r="L51" s="110">
        <v>36</v>
      </c>
      <c r="M51" s="111" t="str">
        <f t="shared" si="0"/>
        <v/>
      </c>
      <c r="N51" s="111" t="str">
        <f t="shared" si="10"/>
        <v xml:space="preserve">Безперервна освіта педкадрів. </v>
      </c>
      <c r="O51" s="111"/>
      <c r="P51" s="111" t="str">
        <f t="shared" si="11"/>
        <v/>
      </c>
      <c r="Q51" s="111" t="str">
        <f t="shared" si="12"/>
        <v/>
      </c>
      <c r="S51" s="112" t="str">
        <f>IF(M51="","","К36  ")</f>
        <v/>
      </c>
      <c r="T51" s="112" t="str">
        <f>IF(N51="","","К36  ")</f>
        <v xml:space="preserve">К36  </v>
      </c>
      <c r="U51" s="112" t="str">
        <f>IF(O51="","","К36  ")</f>
        <v/>
      </c>
      <c r="V51" s="112" t="str">
        <f>IF(P51="","","К36  ")</f>
        <v/>
      </c>
      <c r="W51" s="112" t="str">
        <f>IF(Q51="","","К36  ")</f>
        <v/>
      </c>
      <c r="Y51" s="112"/>
      <c r="Z51" s="121"/>
      <c r="AA51" s="121"/>
      <c r="AB51" s="121"/>
      <c r="AC51" s="121"/>
      <c r="AD51" s="121"/>
      <c r="AE51" s="121"/>
      <c r="AF51" s="121"/>
      <c r="AG51" s="121"/>
      <c r="AH51" s="121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76" t="s">
        <v>109</v>
      </c>
    </row>
    <row r="52" spans="1:46" ht="37.5" customHeight="1">
      <c r="A52" s="33" t="s">
        <v>26</v>
      </c>
      <c r="B52" s="173" t="str">
        <f>Бланк!B46</f>
        <v xml:space="preserve">Розвиток матеріально-технічної бази закладу, раціональність її використання
</v>
      </c>
      <c r="C52" s="175"/>
      <c r="D52" s="27">
        <v>0.13</v>
      </c>
      <c r="E52" s="31"/>
      <c r="F52" s="31"/>
      <c r="G52" s="31"/>
      <c r="H52" s="107"/>
      <c r="I52" s="100">
        <f>L52*D52</f>
        <v>8.4716666666666662E-2</v>
      </c>
      <c r="J52" s="101"/>
      <c r="K52" s="109">
        <f>AVERAGE(H53:H58)</f>
        <v>2.5555555555555558</v>
      </c>
      <c r="L52" s="102">
        <f>SUM(I53:I58)</f>
        <v>0.65166666666666662</v>
      </c>
      <c r="M52" s="125"/>
      <c r="N52" s="125"/>
      <c r="O52" s="125"/>
      <c r="P52" s="125"/>
      <c r="Q52" s="125"/>
      <c r="S52" s="126"/>
      <c r="T52" s="126"/>
      <c r="U52" s="126"/>
      <c r="V52" s="126"/>
      <c r="W52" s="126"/>
      <c r="X52" s="127"/>
      <c r="Y52" s="112"/>
      <c r="Z52" s="121"/>
      <c r="AA52" s="121"/>
      <c r="AB52" s="121"/>
      <c r="AC52" s="121"/>
      <c r="AD52" s="121"/>
      <c r="AE52" s="121"/>
      <c r="AF52" s="121"/>
      <c r="AG52" s="121"/>
      <c r="AH52" s="121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77"/>
    </row>
    <row r="53" spans="1:46" ht="67.5" customHeight="1">
      <c r="A53" s="31">
        <v>37</v>
      </c>
      <c r="B53" s="184" t="str">
        <f>Бланк!B47</f>
        <v>Наявність навчальних кабінетів, майстерень, лабораторій, бібліотеки,  актового залу, інших приміщень, необхідних для здійснення освітнього процесу</v>
      </c>
      <c r="C53" s="185"/>
      <c r="D53" s="106">
        <v>0.22</v>
      </c>
      <c r="E53" s="198">
        <v>3</v>
      </c>
      <c r="F53" s="198">
        <v>3</v>
      </c>
      <c r="G53" s="198">
        <v>3</v>
      </c>
      <c r="H53" s="107">
        <f t="shared" ref="H53:H58" si="32">IF(E53="","",AVERAGE(E53:G53))</f>
        <v>3</v>
      </c>
      <c r="I53" s="98">
        <f t="shared" ref="I53:I58" si="33">IF(E53="","",H53*D53/4)</f>
        <v>0.16500000000000001</v>
      </c>
      <c r="J53" s="99"/>
      <c r="K53" s="99"/>
      <c r="L53" s="110">
        <v>37</v>
      </c>
      <c r="M53" s="111" t="str">
        <f t="shared" si="0"/>
        <v/>
      </c>
      <c r="N53" s="111" t="str">
        <f t="shared" si="10"/>
        <v xml:space="preserve">Необхідні приміщення. </v>
      </c>
      <c r="O53" s="111"/>
      <c r="P53" s="111" t="str">
        <f t="shared" si="11"/>
        <v/>
      </c>
      <c r="Q53" s="111" t="str">
        <f t="shared" si="12"/>
        <v/>
      </c>
      <c r="S53" s="112" t="str">
        <f>IF(M53="","","К37  ")</f>
        <v/>
      </c>
      <c r="T53" s="112" t="str">
        <f>IF(N53="","","К37  ")</f>
        <v xml:space="preserve">К37  </v>
      </c>
      <c r="U53" s="112" t="str">
        <f>IF(O53="","","К37  ")</f>
        <v/>
      </c>
      <c r="V53" s="112" t="str">
        <f>IF(P53="","","К37  ")</f>
        <v/>
      </c>
      <c r="W53" s="112" t="str">
        <f>IF(Q53="","","К37  ")</f>
        <v/>
      </c>
      <c r="Y53" s="113" t="str">
        <f>CONCATENATE(S53,S54,S55,S56,S57)</f>
        <v/>
      </c>
      <c r="Z53" s="113" t="str">
        <f>CONCATENATE(T53,T54,T55,T56,T57)</f>
        <v xml:space="preserve">К37  К38  К40  </v>
      </c>
      <c r="AA53" s="113" t="str">
        <f>CONCATENATE(U53,U54,U55,U56,U57)</f>
        <v/>
      </c>
      <c r="AB53" s="113" t="str">
        <f>CONCATENATE(V53,V54,V55,V56,V57)</f>
        <v/>
      </c>
      <c r="AC53" s="113" t="str">
        <f>CONCATENATE(W53,W54,W55,W56,W57)</f>
        <v/>
      </c>
      <c r="AD53" s="114" t="str">
        <f>CONCATENATE(Y53,Y54)</f>
        <v/>
      </c>
      <c r="AE53" s="114" t="str">
        <f>CONCATENATE(Z53,Z54)</f>
        <v xml:space="preserve">К37  К38  К40  </v>
      </c>
      <c r="AF53" s="114" t="str">
        <f>CONCATENATE(AA53,AA54)</f>
        <v/>
      </c>
      <c r="AG53" s="114" t="str">
        <f>CONCATENATE(AB53,AB54)</f>
        <v/>
      </c>
      <c r="AH53" s="114" t="str">
        <f>CONCATENATE(AC53,AC54)</f>
        <v/>
      </c>
      <c r="AI53" s="115" t="s">
        <v>64</v>
      </c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76" t="s">
        <v>110</v>
      </c>
    </row>
    <row r="54" spans="1:46" ht="50.25" customHeight="1">
      <c r="A54" s="31">
        <v>38</v>
      </c>
      <c r="B54" s="184" t="str">
        <f>Бланк!B48</f>
        <v>Відповідність навчальних кабінетів, майстерень, лабораторій, бібліотеки,  актового залу, інших приміщень нормативним вимогам</v>
      </c>
      <c r="C54" s="185"/>
      <c r="D54" s="106">
        <v>0.22</v>
      </c>
      <c r="E54" s="198">
        <v>3</v>
      </c>
      <c r="F54" s="198">
        <v>3</v>
      </c>
      <c r="G54" s="198">
        <v>3</v>
      </c>
      <c r="H54" s="107">
        <f t="shared" si="32"/>
        <v>3</v>
      </c>
      <c r="I54" s="98">
        <f t="shared" si="33"/>
        <v>0.16500000000000001</v>
      </c>
      <c r="J54" s="99"/>
      <c r="K54" s="99"/>
      <c r="L54" s="110">
        <v>38</v>
      </c>
      <c r="M54" s="111" t="str">
        <f t="shared" si="0"/>
        <v/>
      </c>
      <c r="N54" s="111" t="str">
        <f t="shared" si="10"/>
        <v xml:space="preserve">Відповідність приміщень. </v>
      </c>
      <c r="O54" s="111"/>
      <c r="P54" s="111" t="str">
        <f t="shared" si="11"/>
        <v/>
      </c>
      <c r="Q54" s="111" t="str">
        <f t="shared" si="12"/>
        <v/>
      </c>
      <c r="S54" s="112" t="str">
        <f>IF(M54="","","К38  ")</f>
        <v/>
      </c>
      <c r="T54" s="112" t="str">
        <f>IF(N54="","","К38  ")</f>
        <v xml:space="preserve">К38  </v>
      </c>
      <c r="U54" s="112" t="str">
        <f>IF(O54="","","К38  ")</f>
        <v/>
      </c>
      <c r="V54" s="112" t="str">
        <f>IF(P54="","","К38  ")</f>
        <v/>
      </c>
      <c r="W54" s="112" t="str">
        <f>IF(Q54="","","К38  ")</f>
        <v/>
      </c>
      <c r="Y54" s="113" t="str">
        <f>S58</f>
        <v/>
      </c>
      <c r="Z54" s="113" t="str">
        <f>T58</f>
        <v/>
      </c>
      <c r="AA54" s="113" t="str">
        <f>U58</f>
        <v/>
      </c>
      <c r="AB54" s="113" t="str">
        <f>V58</f>
        <v/>
      </c>
      <c r="AC54" s="113" t="str">
        <f>W58</f>
        <v/>
      </c>
      <c r="AD54" s="121"/>
      <c r="AE54" s="121"/>
      <c r="AF54" s="121"/>
      <c r="AG54" s="121"/>
      <c r="AH54" s="121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76" t="s">
        <v>111</v>
      </c>
    </row>
    <row r="55" spans="1:46" ht="36" customHeight="1">
      <c r="A55" s="31">
        <v>39</v>
      </c>
      <c r="B55" s="184" t="str">
        <f>Бланк!B49</f>
        <v>Раціональність використання землі (території), яка надана закладу, відповідно до його потреб та завдань</v>
      </c>
      <c r="C55" s="185"/>
      <c r="D55" s="106">
        <v>0.12</v>
      </c>
      <c r="E55" s="198">
        <v>3</v>
      </c>
      <c r="F55" s="198">
        <v>0</v>
      </c>
      <c r="G55" s="198">
        <v>4</v>
      </c>
      <c r="H55" s="107">
        <f t="shared" si="32"/>
        <v>2.3333333333333335</v>
      </c>
      <c r="I55" s="98">
        <f t="shared" si="33"/>
        <v>7.0000000000000007E-2</v>
      </c>
      <c r="J55" s="99"/>
      <c r="K55" s="99"/>
      <c r="L55" s="110">
        <v>39</v>
      </c>
      <c r="M55" s="111" t="str">
        <f t="shared" si="0"/>
        <v/>
      </c>
      <c r="N55" s="111" t="str">
        <f t="shared" si="10"/>
        <v/>
      </c>
      <c r="O55" s="111"/>
      <c r="P55" s="111" t="str">
        <f t="shared" si="11"/>
        <v/>
      </c>
      <c r="Q55" s="111" t="str">
        <f t="shared" si="12"/>
        <v/>
      </c>
      <c r="S55" s="112" t="str">
        <f>IF(M55="","","К39  ")</f>
        <v/>
      </c>
      <c r="T55" s="112" t="str">
        <f>IF(N55="","","К39  ")</f>
        <v/>
      </c>
      <c r="U55" s="112" t="str">
        <f>IF(O55="","","К39  ")</f>
        <v/>
      </c>
      <c r="V55" s="112" t="str">
        <f>IF(P55="","","К39  ")</f>
        <v/>
      </c>
      <c r="W55" s="112" t="str">
        <f>IF(Q55="","","К39  ")</f>
        <v/>
      </c>
      <c r="Y55" s="112"/>
      <c r="Z55" s="121"/>
      <c r="AA55" s="121"/>
      <c r="AB55" s="121"/>
      <c r="AC55" s="121"/>
      <c r="AD55" s="121"/>
      <c r="AE55" s="121"/>
      <c r="AF55" s="121"/>
      <c r="AG55" s="121"/>
      <c r="AH55" s="121"/>
      <c r="AI55" s="115"/>
      <c r="AJ55" s="115"/>
      <c r="AK55" s="115"/>
      <c r="AL55" s="115"/>
      <c r="AM55" s="115"/>
      <c r="AN55" s="115"/>
      <c r="AO55" s="115"/>
      <c r="AP55" s="115"/>
      <c r="AQ55" s="115"/>
      <c r="AR55" s="115"/>
      <c r="AS55" s="115"/>
      <c r="AT55" s="76" t="s">
        <v>112</v>
      </c>
    </row>
    <row r="56" spans="1:46" ht="33" customHeight="1">
      <c r="A56" s="31">
        <v>40</v>
      </c>
      <c r="B56" s="184" t="str">
        <f>Бланк!B50</f>
        <v>Раціональність використання приміщень закладу відповідно до його потреб і завдань</v>
      </c>
      <c r="C56" s="185"/>
      <c r="D56" s="106">
        <v>0.13</v>
      </c>
      <c r="E56" s="198">
        <v>3</v>
      </c>
      <c r="F56" s="198">
        <v>3</v>
      </c>
      <c r="G56" s="198">
        <v>4</v>
      </c>
      <c r="H56" s="107">
        <f t="shared" si="32"/>
        <v>3.3333333333333335</v>
      </c>
      <c r="I56" s="98">
        <f t="shared" si="33"/>
        <v>0.10833333333333334</v>
      </c>
      <c r="J56" s="99"/>
      <c r="K56" s="99"/>
      <c r="L56" s="110">
        <v>40</v>
      </c>
      <c r="M56" s="111" t="str">
        <f t="shared" si="0"/>
        <v/>
      </c>
      <c r="N56" s="111" t="str">
        <f t="shared" si="10"/>
        <v xml:space="preserve">Використання приміщень. </v>
      </c>
      <c r="O56" s="111"/>
      <c r="P56" s="111" t="str">
        <f t="shared" si="11"/>
        <v/>
      </c>
      <c r="Q56" s="111" t="str">
        <f t="shared" si="12"/>
        <v/>
      </c>
      <c r="S56" s="112" t="str">
        <f>IF(M56="","","К40  ")</f>
        <v/>
      </c>
      <c r="T56" s="112" t="str">
        <f>IF(N56="","","К40  ")</f>
        <v xml:space="preserve">К40  </v>
      </c>
      <c r="U56" s="112" t="str">
        <f>IF(O56="","","К40  ")</f>
        <v/>
      </c>
      <c r="V56" s="112" t="str">
        <f>IF(P56="","","К40  ")</f>
        <v/>
      </c>
      <c r="W56" s="112" t="str">
        <f>IF(Q56="","","К40  ")</f>
        <v/>
      </c>
      <c r="Y56" s="112"/>
      <c r="Z56" s="121"/>
      <c r="AA56" s="121"/>
      <c r="AB56" s="121"/>
      <c r="AC56" s="121"/>
      <c r="AD56" s="121"/>
      <c r="AE56" s="121"/>
      <c r="AF56" s="121"/>
      <c r="AG56" s="121"/>
      <c r="AH56" s="121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76" t="s">
        <v>130</v>
      </c>
    </row>
    <row r="57" spans="1:46">
      <c r="A57" s="31">
        <v>41</v>
      </c>
      <c r="B57" s="184" t="str">
        <f>Бланк!B51</f>
        <v>Надання платних послуг у сфері позашкільної освіти</v>
      </c>
      <c r="C57" s="185"/>
      <c r="D57" s="106">
        <v>0.14000000000000001</v>
      </c>
      <c r="E57" s="198">
        <v>2</v>
      </c>
      <c r="F57" s="198">
        <v>0</v>
      </c>
      <c r="G57" s="198">
        <v>3</v>
      </c>
      <c r="H57" s="107">
        <f t="shared" si="32"/>
        <v>1.6666666666666667</v>
      </c>
      <c r="I57" s="98">
        <f t="shared" si="33"/>
        <v>5.8333333333333341E-2</v>
      </c>
      <c r="J57" s="99"/>
      <c r="K57" s="99"/>
      <c r="L57" s="110">
        <v>41</v>
      </c>
      <c r="M57" s="111" t="str">
        <f t="shared" si="0"/>
        <v/>
      </c>
      <c r="N57" s="111" t="str">
        <f t="shared" si="10"/>
        <v/>
      </c>
      <c r="O57" s="111"/>
      <c r="P57" s="111" t="str">
        <f t="shared" si="11"/>
        <v/>
      </c>
      <c r="Q57" s="111" t="str">
        <f t="shared" si="12"/>
        <v/>
      </c>
      <c r="S57" s="112" t="str">
        <f>IF(M57="","","К41  ")</f>
        <v/>
      </c>
      <c r="T57" s="112" t="str">
        <f>IF(N57="","","К41  ")</f>
        <v/>
      </c>
      <c r="U57" s="112" t="str">
        <f>IF(O57="","","К41  ")</f>
        <v/>
      </c>
      <c r="V57" s="112" t="str">
        <f>IF(P57="","","К41  ")</f>
        <v/>
      </c>
      <c r="W57" s="112" t="str">
        <f>IF(Q57="","","К41  ")</f>
        <v/>
      </c>
      <c r="Y57" s="112"/>
      <c r="Z57" s="121"/>
      <c r="AA57" s="121"/>
      <c r="AB57" s="121"/>
      <c r="AC57" s="121"/>
      <c r="AD57" s="121"/>
      <c r="AE57" s="121"/>
      <c r="AF57" s="121"/>
      <c r="AG57" s="121"/>
      <c r="AH57" s="121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76" t="s">
        <v>113</v>
      </c>
    </row>
    <row r="58" spans="1:46" ht="36" customHeight="1">
      <c r="A58" s="31">
        <v>42</v>
      </c>
      <c r="B58" s="184" t="str">
        <f>Бланк!B52</f>
        <v>Залучення додаткових джерел фінансування закладу, не заборонених законодавством</v>
      </c>
      <c r="C58" s="185"/>
      <c r="D58" s="106">
        <v>0.17</v>
      </c>
      <c r="E58" s="198">
        <v>2</v>
      </c>
      <c r="F58" s="198">
        <v>0</v>
      </c>
      <c r="G58" s="198">
        <v>4</v>
      </c>
      <c r="H58" s="107">
        <f t="shared" si="32"/>
        <v>2</v>
      </c>
      <c r="I58" s="98">
        <f t="shared" si="33"/>
        <v>8.5000000000000006E-2</v>
      </c>
      <c r="J58" s="99"/>
      <c r="K58" s="99"/>
      <c r="L58" s="110">
        <v>42</v>
      </c>
      <c r="M58" s="111" t="str">
        <f t="shared" si="0"/>
        <v/>
      </c>
      <c r="N58" s="111" t="str">
        <f t="shared" si="10"/>
        <v/>
      </c>
      <c r="O58" s="111"/>
      <c r="P58" s="111" t="str">
        <f t="shared" si="11"/>
        <v/>
      </c>
      <c r="Q58" s="111" t="str">
        <f t="shared" si="12"/>
        <v/>
      </c>
      <c r="S58" s="112" t="str">
        <f>IF(M58="","","К42  ")</f>
        <v/>
      </c>
      <c r="T58" s="112" t="str">
        <f>IF(N58="","","К42  ")</f>
        <v/>
      </c>
      <c r="U58" s="112" t="str">
        <f>IF(O58="","","К42  ")</f>
        <v/>
      </c>
      <c r="V58" s="112" t="str">
        <f>IF(P58="","","К42  ")</f>
        <v/>
      </c>
      <c r="W58" s="112" t="str">
        <f>IF(Q58="","","К42  ")</f>
        <v/>
      </c>
      <c r="Y58" s="112"/>
      <c r="Z58" s="121"/>
      <c r="AA58" s="121"/>
      <c r="AB58" s="121"/>
      <c r="AC58" s="121"/>
      <c r="AD58" s="121"/>
      <c r="AE58" s="121"/>
      <c r="AF58" s="121"/>
      <c r="AG58" s="121"/>
      <c r="AH58" s="121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76" t="s">
        <v>114</v>
      </c>
    </row>
    <row r="59" spans="1:46" ht="36.75" customHeight="1">
      <c r="A59" s="33" t="s">
        <v>29</v>
      </c>
      <c r="B59" s="173" t="str">
        <f>Бланк!B53</f>
        <v>Робота в системі «Заклад – сім’я – соціальне середовище»</v>
      </c>
      <c r="C59" s="175"/>
      <c r="D59" s="27">
        <v>0.09</v>
      </c>
      <c r="E59" s="31"/>
      <c r="F59" s="31"/>
      <c r="G59" s="31"/>
      <c r="H59" s="107"/>
      <c r="I59" s="100">
        <f>L59*D59</f>
        <v>4.1699999999999994E-2</v>
      </c>
      <c r="J59" s="101"/>
      <c r="K59" s="109">
        <f>AVERAGE(H60:H64)</f>
        <v>1.9333333333333331</v>
      </c>
      <c r="L59" s="102">
        <f>SUM(I60:I64)</f>
        <v>0.46333333333333326</v>
      </c>
      <c r="M59" s="125"/>
      <c r="N59" s="125"/>
      <c r="O59" s="125"/>
      <c r="P59" s="125"/>
      <c r="Q59" s="125"/>
      <c r="S59" s="126"/>
      <c r="T59" s="126"/>
      <c r="U59" s="126"/>
      <c r="V59" s="126"/>
      <c r="W59" s="126"/>
      <c r="X59" s="127"/>
      <c r="Y59" s="112"/>
      <c r="Z59" s="121"/>
      <c r="AA59" s="121"/>
      <c r="AB59" s="121"/>
      <c r="AC59" s="121"/>
      <c r="AD59" s="121"/>
      <c r="AE59" s="121"/>
      <c r="AF59" s="121"/>
      <c r="AG59" s="121"/>
      <c r="AH59" s="121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77"/>
    </row>
    <row r="60" spans="1:46">
      <c r="A60" s="31">
        <v>43</v>
      </c>
      <c r="B60" s="182" t="str">
        <f>Бланк!B54</f>
        <v>Взаємодія з батьками вихованців</v>
      </c>
      <c r="C60" s="183"/>
      <c r="D60" s="106">
        <v>0.27</v>
      </c>
      <c r="E60" s="198">
        <v>2</v>
      </c>
      <c r="F60" s="198">
        <v>0</v>
      </c>
      <c r="G60" s="198">
        <v>4</v>
      </c>
      <c r="H60" s="107">
        <f t="shared" ref="H60:H64" si="34">IF(E60="","",AVERAGE(E60:G60))</f>
        <v>2</v>
      </c>
      <c r="I60" s="98">
        <f t="shared" ref="I60:I64" si="35">IF(E60="","",H60*D60/4)</f>
        <v>0.13500000000000001</v>
      </c>
      <c r="J60" s="99"/>
      <c r="K60" s="99"/>
      <c r="L60" s="110">
        <v>43</v>
      </c>
      <c r="M60" s="111" t="str">
        <f t="shared" si="0"/>
        <v/>
      </c>
      <c r="N60" s="111" t="str">
        <f t="shared" si="10"/>
        <v/>
      </c>
      <c r="O60" s="111"/>
      <c r="P60" s="111" t="str">
        <f t="shared" si="11"/>
        <v/>
      </c>
      <c r="Q60" s="111" t="str">
        <f t="shared" si="12"/>
        <v/>
      </c>
      <c r="S60" s="112" t="str">
        <f>IF(M60="","","К43  ")</f>
        <v/>
      </c>
      <c r="T60" s="112" t="str">
        <f>IF(N60="","","К43  ")</f>
        <v/>
      </c>
      <c r="U60" s="112" t="str">
        <f>IF(O60="","","К43  ")</f>
        <v/>
      </c>
      <c r="V60" s="112" t="str">
        <f>IF(P60="","","К43  ")</f>
        <v/>
      </c>
      <c r="W60" s="112" t="str">
        <f>IF(Q60="","","К43  ")</f>
        <v/>
      </c>
      <c r="Y60" s="113" t="str">
        <f>CONCATENATE(S60,S61,S62,S63,S64)</f>
        <v/>
      </c>
      <c r="Z60" s="113" t="str">
        <f>CONCATENATE(T60,T61,T62,T63,T64)</f>
        <v xml:space="preserve">К44  К47  </v>
      </c>
      <c r="AA60" s="113" t="str">
        <f>CONCATENATE(U60,U61,U62,U63,U64)</f>
        <v/>
      </c>
      <c r="AB60" s="113" t="str">
        <f>CONCATENATE(V60,V61,V62,V63,V64)</f>
        <v xml:space="preserve">К45  К46  </v>
      </c>
      <c r="AC60" s="113" t="str">
        <f>CONCATENATE(W60,W61,W62,W63,W64)</f>
        <v/>
      </c>
      <c r="AD60" s="114" t="str">
        <f>Y60</f>
        <v/>
      </c>
      <c r="AE60" s="114" t="str">
        <f>Z60</f>
        <v xml:space="preserve">К44  К47  </v>
      </c>
      <c r="AF60" s="114" t="str">
        <f>AA60</f>
        <v/>
      </c>
      <c r="AG60" s="114" t="str">
        <f>AB60</f>
        <v xml:space="preserve">К45  К46  </v>
      </c>
      <c r="AH60" s="114" t="str">
        <f>AC60</f>
        <v/>
      </c>
      <c r="AI60" s="115" t="s">
        <v>65</v>
      </c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76" t="s">
        <v>115</v>
      </c>
    </row>
    <row r="61" spans="1:46">
      <c r="A61" s="31">
        <v>44</v>
      </c>
      <c r="B61" s="182" t="str">
        <f>Бланк!B55</f>
        <v>Взаємодія із закладами освіти, які діють у мікрорайоні</v>
      </c>
      <c r="C61" s="183"/>
      <c r="D61" s="106">
        <v>0.2</v>
      </c>
      <c r="E61" s="198">
        <v>2</v>
      </c>
      <c r="F61" s="198">
        <v>3</v>
      </c>
      <c r="G61" s="198">
        <v>3</v>
      </c>
      <c r="H61" s="107">
        <f t="shared" si="34"/>
        <v>2.6666666666666665</v>
      </c>
      <c r="I61" s="98">
        <f t="shared" si="35"/>
        <v>0.13333333333333333</v>
      </c>
      <c r="J61" s="99"/>
      <c r="K61" s="99"/>
      <c r="L61" s="110">
        <v>44</v>
      </c>
      <c r="M61" s="111" t="str">
        <f t="shared" si="0"/>
        <v/>
      </c>
      <c r="N61" s="111" t="str">
        <f t="shared" si="10"/>
        <v xml:space="preserve">Взаємодія з закладами освіти. </v>
      </c>
      <c r="O61" s="111"/>
      <c r="P61" s="111" t="str">
        <f t="shared" si="11"/>
        <v/>
      </c>
      <c r="Q61" s="111" t="str">
        <f t="shared" si="12"/>
        <v/>
      </c>
      <c r="S61" s="112" t="str">
        <f>IF(M61="","","К44  ")</f>
        <v/>
      </c>
      <c r="T61" s="112" t="str">
        <f>IF(N61="","","К44  ")</f>
        <v xml:space="preserve">К44  </v>
      </c>
      <c r="U61" s="112" t="str">
        <f>IF(O61="","","К44  ")</f>
        <v/>
      </c>
      <c r="V61" s="112" t="str">
        <f>IF(P61="","","К44  ")</f>
        <v/>
      </c>
      <c r="W61" s="112" t="str">
        <f>IF(Q61="","","К44  ")</f>
        <v/>
      </c>
      <c r="Y61" s="112"/>
      <c r="Z61" s="121"/>
      <c r="AA61" s="121"/>
      <c r="AB61" s="121"/>
      <c r="AC61" s="121"/>
      <c r="AD61" s="121"/>
      <c r="AE61" s="121"/>
      <c r="AF61" s="121"/>
      <c r="AG61" s="121"/>
      <c r="AH61" s="121"/>
      <c r="AI61" s="115"/>
      <c r="AJ61" s="115"/>
      <c r="AK61" s="115"/>
      <c r="AL61" s="115"/>
      <c r="AM61" s="115"/>
      <c r="AN61" s="115"/>
      <c r="AO61" s="115"/>
      <c r="AP61" s="115"/>
      <c r="AQ61" s="115"/>
      <c r="AR61" s="115"/>
      <c r="AS61" s="115"/>
      <c r="AT61" s="76" t="s">
        <v>116</v>
      </c>
    </row>
    <row r="62" spans="1:46" ht="34.5" customHeight="1">
      <c r="A62" s="31">
        <v>45</v>
      </c>
      <c r="B62" s="182" t="str">
        <f>Бланк!B56</f>
        <v>Взаємодія з соціальними службами та державними  інституціями</v>
      </c>
      <c r="C62" s="183"/>
      <c r="D62" s="106">
        <v>0.2</v>
      </c>
      <c r="E62" s="198">
        <v>2</v>
      </c>
      <c r="F62" s="198">
        <v>0</v>
      </c>
      <c r="G62" s="198">
        <v>2</v>
      </c>
      <c r="H62" s="107">
        <f t="shared" si="34"/>
        <v>1.3333333333333333</v>
      </c>
      <c r="I62" s="98">
        <f t="shared" si="35"/>
        <v>6.6666666666666666E-2</v>
      </c>
      <c r="J62" s="99"/>
      <c r="K62" s="99"/>
      <c r="L62" s="110">
        <v>45</v>
      </c>
      <c r="M62" s="111" t="str">
        <f t="shared" si="0"/>
        <v/>
      </c>
      <c r="N62" s="111" t="str">
        <f t="shared" si="10"/>
        <v/>
      </c>
      <c r="O62" s="111"/>
      <c r="P62" s="111" t="str">
        <f t="shared" si="11"/>
        <v xml:space="preserve">Взаємодія з соцслужбами. </v>
      </c>
      <c r="Q62" s="111" t="str">
        <f t="shared" si="12"/>
        <v/>
      </c>
      <c r="S62" s="112" t="str">
        <f>IF(M62="","","К45  ")</f>
        <v/>
      </c>
      <c r="T62" s="112" t="str">
        <f>IF(N62="","","К45  ")</f>
        <v/>
      </c>
      <c r="U62" s="112" t="str">
        <f>IF(O62="","","К45  ")</f>
        <v/>
      </c>
      <c r="V62" s="112" t="str">
        <f>IF(P62="","","К45  ")</f>
        <v xml:space="preserve">К45  </v>
      </c>
      <c r="W62" s="112" t="str">
        <f>IF(Q62="","","К45  ")</f>
        <v/>
      </c>
      <c r="Y62" s="112"/>
      <c r="Z62" s="121"/>
      <c r="AA62" s="121"/>
      <c r="AB62" s="121"/>
      <c r="AC62" s="121"/>
      <c r="AD62" s="121"/>
      <c r="AE62" s="121"/>
      <c r="AF62" s="121"/>
      <c r="AG62" s="121"/>
      <c r="AH62" s="121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76" t="s">
        <v>117</v>
      </c>
    </row>
    <row r="63" spans="1:46" ht="36.75" customHeight="1">
      <c r="A63" s="31">
        <v>46</v>
      </c>
      <c r="B63" s="182" t="str">
        <f>Бланк!B57</f>
        <v>Робота з дітьми із соціальних категорій, які потребують підтримки</v>
      </c>
      <c r="C63" s="183"/>
      <c r="D63" s="106">
        <v>0.22</v>
      </c>
      <c r="E63" s="198">
        <v>1</v>
      </c>
      <c r="F63" s="198">
        <v>0</v>
      </c>
      <c r="G63" s="198">
        <v>2</v>
      </c>
      <c r="H63" s="107">
        <f t="shared" si="34"/>
        <v>1</v>
      </c>
      <c r="I63" s="98">
        <f t="shared" si="35"/>
        <v>5.5E-2</v>
      </c>
      <c r="J63" s="99"/>
      <c r="K63" s="99"/>
      <c r="L63" s="110">
        <v>46</v>
      </c>
      <c r="M63" s="111" t="str">
        <f t="shared" si="0"/>
        <v/>
      </c>
      <c r="N63" s="111" t="str">
        <f t="shared" si="10"/>
        <v/>
      </c>
      <c r="O63" s="111"/>
      <c r="P63" s="111" t="str">
        <f t="shared" si="11"/>
        <v xml:space="preserve">Робота з дітьми соцкатегорій. </v>
      </c>
      <c r="Q63" s="111" t="str">
        <f t="shared" si="12"/>
        <v/>
      </c>
      <c r="S63" s="112" t="str">
        <f>IF(M63="","","К46  ")</f>
        <v/>
      </c>
      <c r="T63" s="112" t="str">
        <f>IF(N63="","","К46"  )</f>
        <v/>
      </c>
      <c r="U63" s="112" t="str">
        <f>IF(O63="","","К46  ")</f>
        <v/>
      </c>
      <c r="V63" s="112" t="str">
        <f>IF(P63="","","К46  ")</f>
        <v xml:space="preserve">К46  </v>
      </c>
      <c r="W63" s="112" t="str">
        <f>IF(Q63="","","К46  ")</f>
        <v/>
      </c>
      <c r="Y63" s="112"/>
      <c r="Z63" s="121"/>
      <c r="AA63" s="121"/>
      <c r="AB63" s="121"/>
      <c r="AC63" s="121"/>
      <c r="AD63" s="121"/>
      <c r="AE63" s="121"/>
      <c r="AF63" s="121"/>
      <c r="AG63" s="121"/>
      <c r="AH63" s="121"/>
      <c r="AI63" s="115"/>
      <c r="AJ63" s="115"/>
      <c r="AK63" s="115"/>
      <c r="AL63" s="115"/>
      <c r="AM63" s="115"/>
      <c r="AN63" s="115"/>
      <c r="AO63" s="115"/>
      <c r="AP63" s="115"/>
      <c r="AQ63" s="115"/>
      <c r="AR63" s="115"/>
      <c r="AS63" s="115"/>
      <c r="AT63" s="76" t="s">
        <v>128</v>
      </c>
    </row>
    <row r="64" spans="1:46">
      <c r="A64" s="31">
        <v>47</v>
      </c>
      <c r="B64" s="182" t="str">
        <f>Бланк!B58</f>
        <v>Співпраця з громадськими та благодійними інституціями</v>
      </c>
      <c r="C64" s="183"/>
      <c r="D64" s="106">
        <v>0.11</v>
      </c>
      <c r="E64" s="198">
        <v>2</v>
      </c>
      <c r="F64" s="198">
        <v>3</v>
      </c>
      <c r="G64" s="198">
        <v>3</v>
      </c>
      <c r="H64" s="107">
        <f t="shared" si="34"/>
        <v>2.6666666666666665</v>
      </c>
      <c r="I64" s="98">
        <f t="shared" si="35"/>
        <v>7.3333333333333334E-2</v>
      </c>
      <c r="J64" s="99"/>
      <c r="K64" s="99"/>
      <c r="L64" s="110">
        <v>47</v>
      </c>
      <c r="M64" s="111" t="str">
        <f t="shared" si="0"/>
        <v/>
      </c>
      <c r="N64" s="111" t="str">
        <f t="shared" si="10"/>
        <v xml:space="preserve">Співпраця з ГО, БФ. </v>
      </c>
      <c r="O64" s="111"/>
      <c r="P64" s="111" t="str">
        <f t="shared" si="11"/>
        <v/>
      </c>
      <c r="Q64" s="111" t="str">
        <f t="shared" si="12"/>
        <v/>
      </c>
      <c r="S64" s="112" t="str">
        <f>IF(M64="","","К47  ")</f>
        <v/>
      </c>
      <c r="T64" s="112" t="str">
        <f>IF(N64="","","К47  ")</f>
        <v xml:space="preserve">К47  </v>
      </c>
      <c r="U64" s="112" t="str">
        <f>IF(O64="","","К47  ")</f>
        <v/>
      </c>
      <c r="V64" s="112" t="str">
        <f>IF(P64="","","К47  ")</f>
        <v/>
      </c>
      <c r="W64" s="112" t="str">
        <f>IF(Q64="","","К47  ")</f>
        <v/>
      </c>
      <c r="Y64" s="112"/>
      <c r="Z64" s="121"/>
      <c r="AA64" s="121"/>
      <c r="AB64" s="121"/>
      <c r="AC64" s="121"/>
      <c r="AD64" s="121"/>
      <c r="AE64" s="121"/>
      <c r="AF64" s="121"/>
      <c r="AG64" s="121"/>
      <c r="AH64" s="121"/>
      <c r="AI64" s="115"/>
      <c r="AJ64" s="115"/>
      <c r="AK64" s="115"/>
      <c r="AL64" s="115"/>
      <c r="AM64" s="115"/>
      <c r="AN64" s="115"/>
      <c r="AO64" s="115"/>
      <c r="AP64" s="115"/>
      <c r="AQ64" s="115"/>
      <c r="AR64" s="115"/>
      <c r="AS64" s="115"/>
      <c r="AT64" s="76" t="s">
        <v>118</v>
      </c>
    </row>
    <row r="65" spans="1:46" ht="38.25" customHeight="1">
      <c r="A65" s="33" t="s">
        <v>32</v>
      </c>
      <c r="B65" s="173" t="str">
        <f>Бланк!B59</f>
        <v>Забезпечення безпечного освітнього середовища закладу</v>
      </c>
      <c r="C65" s="175"/>
      <c r="D65" s="27">
        <v>0.11</v>
      </c>
      <c r="E65" s="31"/>
      <c r="F65" s="31"/>
      <c r="G65" s="31"/>
      <c r="H65" s="107"/>
      <c r="I65" s="100">
        <f>L65*D65</f>
        <v>0.10083333333333333</v>
      </c>
      <c r="J65" s="101"/>
      <c r="K65" s="109">
        <f>AVERAGE(H66:H68)</f>
        <v>3.6666666666666665</v>
      </c>
      <c r="L65" s="102">
        <f>SUM(I66:I68)</f>
        <v>0.91666666666666663</v>
      </c>
      <c r="M65" s="125"/>
      <c r="N65" s="125"/>
      <c r="O65" s="125"/>
      <c r="P65" s="125"/>
      <c r="Q65" s="125"/>
      <c r="S65" s="126"/>
      <c r="T65" s="126"/>
      <c r="U65" s="126"/>
      <c r="V65" s="126"/>
      <c r="W65" s="126"/>
      <c r="X65" s="127"/>
      <c r="Y65" s="112"/>
      <c r="Z65" s="121"/>
      <c r="AA65" s="121"/>
      <c r="AB65" s="121"/>
      <c r="AC65" s="121"/>
      <c r="AD65" s="121"/>
      <c r="AE65" s="121"/>
      <c r="AF65" s="121"/>
      <c r="AG65" s="121"/>
      <c r="AH65" s="121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77"/>
    </row>
    <row r="66" spans="1:46" ht="38.25" customHeight="1">
      <c r="A66" s="31">
        <v>48</v>
      </c>
      <c r="B66" s="182" t="str">
        <f>Бланк!B60</f>
        <v>Відповідність режиму роботи закладу санітарно-гігієнічним вимогам</v>
      </c>
      <c r="C66" s="183"/>
      <c r="D66" s="106">
        <v>0.25</v>
      </c>
      <c r="E66" s="198">
        <v>3</v>
      </c>
      <c r="F66" s="198">
        <v>4</v>
      </c>
      <c r="G66" s="198">
        <v>4</v>
      </c>
      <c r="H66" s="107">
        <f t="shared" ref="H66:H68" si="36">IF(E66="","",AVERAGE(E66:G66))</f>
        <v>3.6666666666666665</v>
      </c>
      <c r="I66" s="98">
        <f t="shared" ref="I66:I68" si="37">IF(E66="","",H66*D66/4)</f>
        <v>0.22916666666666666</v>
      </c>
      <c r="J66" s="99"/>
      <c r="K66" s="99"/>
      <c r="L66" s="110">
        <v>48</v>
      </c>
      <c r="M66" s="111" t="str">
        <f t="shared" si="0"/>
        <v xml:space="preserve">Режим роботи. </v>
      </c>
      <c r="N66" s="111" t="str">
        <f t="shared" si="10"/>
        <v/>
      </c>
      <c r="O66" s="111"/>
      <c r="P66" s="111" t="str">
        <f t="shared" si="11"/>
        <v/>
      </c>
      <c r="Q66" s="111" t="str">
        <f t="shared" si="12"/>
        <v/>
      </c>
      <c r="S66" s="112" t="str">
        <f>IF(M66="","","К48  ")</f>
        <v xml:space="preserve">К48  </v>
      </c>
      <c r="T66" s="112" t="str">
        <f>IF(N66="","","К48  ")</f>
        <v/>
      </c>
      <c r="U66" s="112" t="str">
        <f>IF(O66="","","К48  ")</f>
        <v/>
      </c>
      <c r="V66" s="112" t="str">
        <f>IF(P66="","","К48  ")</f>
        <v/>
      </c>
      <c r="W66" s="112" t="str">
        <f>IF(Q66="","","К48  ")</f>
        <v/>
      </c>
      <c r="Y66" s="113" t="str">
        <f>CONCATENATE(S66,S67,S68)</f>
        <v xml:space="preserve">К48  К49  К50  </v>
      </c>
      <c r="Z66" s="113" t="str">
        <f>CONCATENATE(T66,T67,T68)</f>
        <v/>
      </c>
      <c r="AA66" s="113" t="str">
        <f>CONCATENATE(U66,U67,U68)</f>
        <v/>
      </c>
      <c r="AB66" s="113" t="str">
        <f>CONCATENATE(V66,V67,V68)</f>
        <v/>
      </c>
      <c r="AC66" s="113" t="str">
        <f>CONCATENATE(W66,W67,W68)</f>
        <v/>
      </c>
      <c r="AD66" s="114" t="str">
        <f>Y66</f>
        <v xml:space="preserve">К48  К49  К50  </v>
      </c>
      <c r="AE66" s="114" t="str">
        <f>Z66</f>
        <v/>
      </c>
      <c r="AF66" s="114" t="str">
        <f>AA66</f>
        <v/>
      </c>
      <c r="AG66" s="114" t="str">
        <f>AB66</f>
        <v/>
      </c>
      <c r="AH66" s="114" t="str">
        <f>AC66</f>
        <v/>
      </c>
      <c r="AI66" s="115" t="s">
        <v>66</v>
      </c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76" t="s">
        <v>119</v>
      </c>
    </row>
    <row r="67" spans="1:46" ht="36.75" customHeight="1">
      <c r="A67" s="31">
        <v>49</v>
      </c>
      <c r="B67" s="182" t="str">
        <f>Бланк!B61</f>
        <v>Дотримання вимог техніки безпеки, температурного режиму та санітарно-гігієнічних норм</v>
      </c>
      <c r="C67" s="183"/>
      <c r="D67" s="106">
        <v>0.55000000000000004</v>
      </c>
      <c r="E67" s="198">
        <v>3</v>
      </c>
      <c r="F67" s="198">
        <v>4</v>
      </c>
      <c r="G67" s="198">
        <v>4</v>
      </c>
      <c r="H67" s="107">
        <f t="shared" si="36"/>
        <v>3.6666666666666665</v>
      </c>
      <c r="I67" s="98">
        <f t="shared" si="37"/>
        <v>0.50416666666666665</v>
      </c>
      <c r="J67" s="99"/>
      <c r="K67" s="99"/>
      <c r="L67" s="110">
        <v>49</v>
      </c>
      <c r="M67" s="111" t="str">
        <f t="shared" si="0"/>
        <v xml:space="preserve">Техніка безпеки. </v>
      </c>
      <c r="N67" s="111" t="str">
        <f t="shared" si="10"/>
        <v/>
      </c>
      <c r="O67" s="111"/>
      <c r="P67" s="111" t="str">
        <f t="shared" si="11"/>
        <v/>
      </c>
      <c r="Q67" s="111" t="str">
        <f t="shared" si="12"/>
        <v/>
      </c>
      <c r="S67" s="112" t="str">
        <f>IF(M67="","","К49  ")</f>
        <v xml:space="preserve">К49  </v>
      </c>
      <c r="T67" s="112" t="str">
        <f>IF(N67="","","К49  ")</f>
        <v/>
      </c>
      <c r="U67" s="112" t="str">
        <f>IF(O67="","","К49  ")</f>
        <v/>
      </c>
      <c r="V67" s="112" t="str">
        <f>IF(P67="","","К49  ")</f>
        <v/>
      </c>
      <c r="W67" s="112" t="str">
        <f>IF(Q67="","","К49  ")</f>
        <v/>
      </c>
      <c r="Y67" s="112"/>
      <c r="Z67" s="121"/>
      <c r="AA67" s="121"/>
      <c r="AB67" s="121"/>
      <c r="AC67" s="121"/>
      <c r="AD67" s="121"/>
      <c r="AE67" s="121"/>
      <c r="AF67" s="121"/>
      <c r="AG67" s="121"/>
      <c r="AH67" s="121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5"/>
      <c r="AT67" s="76" t="s">
        <v>120</v>
      </c>
    </row>
    <row r="68" spans="1:46" ht="18.75" customHeight="1">
      <c r="A68" s="31">
        <v>50</v>
      </c>
      <c r="B68" s="182" t="str">
        <f>Бланк!B62</f>
        <v>Санітарне утримання приміщень, території закладу</v>
      </c>
      <c r="C68" s="183"/>
      <c r="D68" s="106">
        <v>0.2</v>
      </c>
      <c r="E68" s="198">
        <v>3</v>
      </c>
      <c r="F68" s="198">
        <v>4</v>
      </c>
      <c r="G68" s="198">
        <v>4</v>
      </c>
      <c r="H68" s="107">
        <f t="shared" si="36"/>
        <v>3.6666666666666665</v>
      </c>
      <c r="I68" s="98">
        <f t="shared" si="37"/>
        <v>0.18333333333333335</v>
      </c>
      <c r="J68" s="99"/>
      <c r="K68" s="99"/>
      <c r="L68" s="110">
        <v>50</v>
      </c>
      <c r="M68" s="111" t="str">
        <f t="shared" si="0"/>
        <v xml:space="preserve">Санітарія. </v>
      </c>
      <c r="N68" s="111" t="str">
        <f t="shared" si="10"/>
        <v/>
      </c>
      <c r="O68" s="111"/>
      <c r="P68" s="111" t="str">
        <f t="shared" si="11"/>
        <v/>
      </c>
      <c r="Q68" s="111" t="str">
        <f t="shared" si="12"/>
        <v/>
      </c>
      <c r="S68" s="112" t="str">
        <f>IF(M68="","","К50  ")</f>
        <v xml:space="preserve">К50  </v>
      </c>
      <c r="T68" s="112" t="str">
        <f>IF(N68="","","К50  ")</f>
        <v/>
      </c>
      <c r="U68" s="112" t="str">
        <f>IF(O68="","","К50  ")</f>
        <v/>
      </c>
      <c r="V68" s="112" t="str">
        <f>IF(P68="","","К50  ")</f>
        <v/>
      </c>
      <c r="W68" s="112" t="str">
        <f>IF(Q68="","","К50  ")</f>
        <v/>
      </c>
      <c r="Y68" s="112"/>
      <c r="Z68" s="121"/>
      <c r="AA68" s="121"/>
      <c r="AB68" s="121"/>
      <c r="AC68" s="121"/>
      <c r="AD68" s="121"/>
      <c r="AE68" s="121"/>
      <c r="AF68" s="121"/>
      <c r="AG68" s="121"/>
      <c r="AH68" s="121"/>
      <c r="AI68" s="115"/>
      <c r="AJ68" s="115"/>
      <c r="AK68" s="115"/>
      <c r="AL68" s="115"/>
      <c r="AM68" s="115"/>
      <c r="AN68" s="115"/>
      <c r="AO68" s="115"/>
      <c r="AP68" s="115"/>
      <c r="AQ68" s="115"/>
      <c r="AR68" s="115"/>
      <c r="AS68" s="115"/>
      <c r="AT68" s="76" t="s">
        <v>121</v>
      </c>
    </row>
    <row r="69" spans="1:46">
      <c r="A69" s="33" t="s">
        <v>35</v>
      </c>
      <c r="B69" s="173" t="str">
        <f>Бланк!B63</f>
        <v>Піар-менеджмент</v>
      </c>
      <c r="C69" s="175"/>
      <c r="D69" s="27">
        <v>7.0000000000000007E-2</v>
      </c>
      <c r="E69" s="31"/>
      <c r="F69" s="31"/>
      <c r="G69" s="31"/>
      <c r="H69" s="107"/>
      <c r="I69" s="100">
        <f>L69*D69</f>
        <v>5.6000000000000008E-2</v>
      </c>
      <c r="J69" s="101"/>
      <c r="K69" s="109">
        <f>AVERAGE(H70:H74)</f>
        <v>3.2666666666666666</v>
      </c>
      <c r="L69" s="102">
        <f>SUM(I70:I74)</f>
        <v>0.8</v>
      </c>
      <c r="M69" s="125"/>
      <c r="N69" s="125"/>
      <c r="O69" s="125"/>
      <c r="P69" s="125"/>
      <c r="Q69" s="125"/>
      <c r="S69" s="126"/>
      <c r="T69" s="126"/>
      <c r="U69" s="126"/>
      <c r="V69" s="126"/>
      <c r="W69" s="126"/>
      <c r="X69" s="127"/>
      <c r="Y69" s="112"/>
      <c r="Z69" s="121"/>
      <c r="AA69" s="121"/>
      <c r="AB69" s="121"/>
      <c r="AC69" s="121"/>
      <c r="AD69" s="121"/>
      <c r="AE69" s="121"/>
      <c r="AF69" s="121"/>
      <c r="AG69" s="121"/>
      <c r="AH69" s="121"/>
      <c r="AI69" s="115"/>
      <c r="AJ69" s="115"/>
      <c r="AK69" s="115"/>
      <c r="AL69" s="115"/>
      <c r="AM69" s="115"/>
      <c r="AN69" s="115"/>
      <c r="AO69" s="115"/>
      <c r="AP69" s="115"/>
      <c r="AQ69" s="115"/>
      <c r="AR69" s="115"/>
      <c r="AS69" s="115"/>
      <c r="AT69" s="77"/>
    </row>
    <row r="70" spans="1:46" ht="50.25" customHeight="1">
      <c r="A70" s="31">
        <v>51</v>
      </c>
      <c r="B70" s="182" t="str">
        <f>Бланк!B64</f>
        <v>Використання інфраструктурного розташування для формування контингенту вихованців (транспортні розв’язки, житловий район, розташування поблизу закладів загальної середньої освіти…)</v>
      </c>
      <c r="C70" s="183"/>
      <c r="D70" s="106">
        <v>0.3</v>
      </c>
      <c r="E70" s="198">
        <v>2</v>
      </c>
      <c r="F70" s="198">
        <v>4</v>
      </c>
      <c r="G70" s="198">
        <v>3</v>
      </c>
      <c r="H70" s="107">
        <f t="shared" ref="H70:H74" si="38">IF(E70="","",AVERAGE(E70:G70))</f>
        <v>3</v>
      </c>
      <c r="I70" s="98">
        <f t="shared" ref="I70:I74" si="39">IF(E70="","",H70*D70/4)</f>
        <v>0.22499999999999998</v>
      </c>
      <c r="J70" s="99"/>
      <c r="K70" s="99"/>
      <c r="L70" s="110">
        <v>51</v>
      </c>
      <c r="M70" s="111" t="str">
        <f t="shared" si="0"/>
        <v/>
      </c>
      <c r="N70" s="111" t="str">
        <f t="shared" si="10"/>
        <v xml:space="preserve">Інфраструктурні умови. </v>
      </c>
      <c r="O70" s="111"/>
      <c r="P70" s="111" t="str">
        <f t="shared" si="11"/>
        <v/>
      </c>
      <c r="Q70" s="111" t="str">
        <f t="shared" si="12"/>
        <v/>
      </c>
      <c r="S70" s="112" t="str">
        <f>IF(M70="","","К51  ")</f>
        <v/>
      </c>
      <c r="T70" s="112" t="str">
        <f>IF(N70="","","К51  ")</f>
        <v xml:space="preserve">К51  </v>
      </c>
      <c r="U70" s="112" t="str">
        <f>IF(O70="","","К51  ")</f>
        <v/>
      </c>
      <c r="V70" s="112" t="str">
        <f>IF(P70="","","К51  ")</f>
        <v/>
      </c>
      <c r="W70" s="112" t="str">
        <f>IF(Q70="","","К51  ")</f>
        <v/>
      </c>
      <c r="Y70" s="113" t="str">
        <f>CONCATENATE(S70,S71,S72,S73,S74)</f>
        <v xml:space="preserve">К54  </v>
      </c>
      <c r="Z70" s="113" t="str">
        <f>CONCATENATE(T70,T71,T72,T73,T74)</f>
        <v>К51  К52  К53  К55</v>
      </c>
      <c r="AA70" s="113" t="str">
        <f>CONCATENATE(U70,U71,U72,U73,U74)</f>
        <v/>
      </c>
      <c r="AB70" s="113" t="str">
        <f>CONCATENATE(V70,V71,V72,V73,V74)</f>
        <v/>
      </c>
      <c r="AC70" s="113" t="str">
        <f>CONCATENATE(W70,W71,W72,W73,W74)</f>
        <v/>
      </c>
      <c r="AD70" s="114" t="str">
        <f>Y70</f>
        <v xml:space="preserve">К54  </v>
      </c>
      <c r="AE70" s="114" t="str">
        <f>Z70</f>
        <v>К51  К52  К53  К55</v>
      </c>
      <c r="AF70" s="114" t="str">
        <f>AA70</f>
        <v/>
      </c>
      <c r="AG70" s="114" t="str">
        <f>AB70</f>
        <v/>
      </c>
      <c r="AH70" s="114" t="str">
        <f>AC70</f>
        <v/>
      </c>
      <c r="AI70" s="115" t="s">
        <v>67</v>
      </c>
      <c r="AJ70" s="115"/>
      <c r="AK70" s="115"/>
      <c r="AL70" s="115"/>
      <c r="AM70" s="115"/>
      <c r="AN70" s="115"/>
      <c r="AO70" s="115"/>
      <c r="AP70" s="115"/>
      <c r="AQ70" s="115"/>
      <c r="AR70" s="115"/>
      <c r="AS70" s="115"/>
      <c r="AT70" s="76" t="s">
        <v>122</v>
      </c>
    </row>
    <row r="71" spans="1:46" ht="33.75" customHeight="1">
      <c r="A71" s="31">
        <v>52</v>
      </c>
      <c r="B71" s="182" t="str">
        <f>Бланк!B65</f>
        <v>Інформаційна відкритість закладу. Співпраця із засобами масової інформації.</v>
      </c>
      <c r="C71" s="183"/>
      <c r="D71" s="106">
        <v>0.3</v>
      </c>
      <c r="E71" s="198">
        <v>3</v>
      </c>
      <c r="F71" s="198">
        <v>4</v>
      </c>
      <c r="G71" s="198">
        <v>3</v>
      </c>
      <c r="H71" s="107">
        <f t="shared" si="38"/>
        <v>3.3333333333333335</v>
      </c>
      <c r="I71" s="98">
        <f t="shared" si="39"/>
        <v>0.25</v>
      </c>
      <c r="J71" s="99"/>
      <c r="K71" s="99"/>
      <c r="L71" s="110">
        <v>52</v>
      </c>
      <c r="M71" s="111" t="str">
        <f t="shared" si="0"/>
        <v/>
      </c>
      <c r="N71" s="111" t="str">
        <f t="shared" si="10"/>
        <v xml:space="preserve">Інформаційна відкритість. </v>
      </c>
      <c r="O71" s="111"/>
      <c r="P71" s="111" t="str">
        <f t="shared" si="11"/>
        <v/>
      </c>
      <c r="Q71" s="111" t="str">
        <f t="shared" si="12"/>
        <v/>
      </c>
      <c r="S71" s="112" t="str">
        <f>IF(M71="","","К52  ")</f>
        <v/>
      </c>
      <c r="T71" s="112" t="str">
        <f>IF(N71="","","К52  ")</f>
        <v xml:space="preserve">К52  </v>
      </c>
      <c r="U71" s="112" t="str">
        <f>IF(O71="","","К52  ")</f>
        <v/>
      </c>
      <c r="V71" s="112" t="str">
        <f>IF(P71="","","К52  ")</f>
        <v/>
      </c>
      <c r="W71" s="112" t="str">
        <f>IF(Q71="","","К52  ")</f>
        <v/>
      </c>
      <c r="Y71" s="112"/>
      <c r="Z71" s="121"/>
      <c r="AA71" s="121"/>
      <c r="AB71" s="121"/>
      <c r="AC71" s="121"/>
      <c r="AD71" s="121"/>
      <c r="AE71" s="121"/>
      <c r="AF71" s="121"/>
      <c r="AG71" s="121"/>
      <c r="AH71" s="121"/>
      <c r="AI71" s="115"/>
      <c r="AJ71" s="115"/>
      <c r="AK71" s="115"/>
      <c r="AL71" s="115"/>
      <c r="AM71" s="115"/>
      <c r="AN71" s="115"/>
      <c r="AO71" s="115"/>
      <c r="AP71" s="115"/>
      <c r="AQ71" s="115"/>
      <c r="AR71" s="115"/>
      <c r="AS71" s="115"/>
      <c r="AT71" s="76" t="s">
        <v>123</v>
      </c>
    </row>
    <row r="72" spans="1:46">
      <c r="A72" s="31">
        <v>53</v>
      </c>
      <c r="B72" s="182" t="str">
        <f>Бланк!B66</f>
        <v>Ефективність вебсайту</v>
      </c>
      <c r="C72" s="183"/>
      <c r="D72" s="106">
        <v>0.2</v>
      </c>
      <c r="E72" s="198">
        <v>3</v>
      </c>
      <c r="F72" s="198">
        <v>3</v>
      </c>
      <c r="G72" s="198">
        <v>3</v>
      </c>
      <c r="H72" s="107">
        <f t="shared" si="38"/>
        <v>3</v>
      </c>
      <c r="I72" s="98">
        <f t="shared" si="39"/>
        <v>0.15000000000000002</v>
      </c>
      <c r="J72" s="99"/>
      <c r="K72" s="99"/>
      <c r="L72" s="110">
        <v>53</v>
      </c>
      <c r="M72" s="111" t="str">
        <f t="shared" si="0"/>
        <v/>
      </c>
      <c r="N72" s="111" t="str">
        <f t="shared" si="10"/>
        <v xml:space="preserve">Вебсайт. </v>
      </c>
      <c r="O72" s="111"/>
      <c r="P72" s="111" t="str">
        <f t="shared" si="11"/>
        <v/>
      </c>
      <c r="Q72" s="111" t="str">
        <f t="shared" si="12"/>
        <v/>
      </c>
      <c r="S72" s="112" t="str">
        <f>IF(M72="","","К53  ")</f>
        <v/>
      </c>
      <c r="T72" s="112" t="str">
        <f>IF(N72="","","К53  ")</f>
        <v xml:space="preserve">К53  </v>
      </c>
      <c r="U72" s="112" t="str">
        <f>IF(O72="","","К53  ")</f>
        <v/>
      </c>
      <c r="V72" s="112" t="str">
        <f>IF(P72="","","К53  ")</f>
        <v/>
      </c>
      <c r="W72" s="112" t="str">
        <f>IF(Q72="","","К53  ")</f>
        <v/>
      </c>
      <c r="Y72" s="112"/>
      <c r="Z72" s="121"/>
      <c r="AA72" s="121"/>
      <c r="AB72" s="121"/>
      <c r="AC72" s="121"/>
      <c r="AD72" s="121"/>
      <c r="AE72" s="121"/>
      <c r="AF72" s="121"/>
      <c r="AG72" s="121"/>
      <c r="AH72" s="121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76" t="s">
        <v>124</v>
      </c>
    </row>
    <row r="73" spans="1:46">
      <c r="A73" s="31">
        <v>54</v>
      </c>
      <c r="B73" s="182" t="str">
        <f>Бланк!B67</f>
        <v>Формування репутації закладу</v>
      </c>
      <c r="C73" s="183"/>
      <c r="D73" s="106">
        <v>0.1</v>
      </c>
      <c r="E73" s="198">
        <v>3</v>
      </c>
      <c r="F73" s="198">
        <v>4</v>
      </c>
      <c r="G73" s="198">
        <v>4</v>
      </c>
      <c r="H73" s="107">
        <f t="shared" si="38"/>
        <v>3.6666666666666665</v>
      </c>
      <c r="I73" s="98">
        <f t="shared" si="39"/>
        <v>9.1666666666666674E-2</v>
      </c>
      <c r="J73" s="99"/>
      <c r="K73" s="99"/>
      <c r="L73" s="110">
        <v>54</v>
      </c>
      <c r="M73" s="111" t="str">
        <f t="shared" si="0"/>
        <v xml:space="preserve">Репутація ЗПО. </v>
      </c>
      <c r="N73" s="111" t="str">
        <f t="shared" si="10"/>
        <v/>
      </c>
      <c r="O73" s="111"/>
      <c r="P73" s="111" t="str">
        <f t="shared" si="11"/>
        <v/>
      </c>
      <c r="Q73" s="111" t="str">
        <f t="shared" si="12"/>
        <v/>
      </c>
      <c r="S73" s="112" t="str">
        <f>IF(M73="","","К54  ")</f>
        <v xml:space="preserve">К54  </v>
      </c>
      <c r="T73" s="112" t="str">
        <f>IF(N73="","","К54  ")</f>
        <v/>
      </c>
      <c r="U73" s="112" t="str">
        <f>IF(O73="","","К54  ")</f>
        <v/>
      </c>
      <c r="V73" s="112" t="str">
        <f>IF(P73="","","К54  ")</f>
        <v/>
      </c>
      <c r="W73" s="112" t="str">
        <f>IF(Q73="","","К54  ")</f>
        <v/>
      </c>
      <c r="Y73" s="112"/>
      <c r="Z73" s="121"/>
      <c r="AA73" s="121"/>
      <c r="AB73" s="121"/>
      <c r="AC73" s="121"/>
      <c r="AD73" s="121"/>
      <c r="AE73" s="121"/>
      <c r="AF73" s="121"/>
      <c r="AG73" s="121"/>
      <c r="AH73" s="121"/>
      <c r="AI73" s="115"/>
      <c r="AJ73" s="115"/>
      <c r="AK73" s="115"/>
      <c r="AL73" s="115"/>
      <c r="AM73" s="115"/>
      <c r="AN73" s="115"/>
      <c r="AO73" s="115"/>
      <c r="AP73" s="115"/>
      <c r="AQ73" s="115"/>
      <c r="AR73" s="115"/>
      <c r="AS73" s="115"/>
      <c r="AT73" s="76" t="s">
        <v>125</v>
      </c>
    </row>
    <row r="74" spans="1:46" ht="35.25" customHeight="1">
      <c r="A74" s="31">
        <v>55</v>
      </c>
      <c r="B74" s="182" t="str">
        <f>Бланк!B68</f>
        <v>Естетичність оформлення приміщень закладу (зовнішнє та внутрішнє)</v>
      </c>
      <c r="C74" s="183"/>
      <c r="D74" s="106">
        <v>0.1</v>
      </c>
      <c r="E74" s="198">
        <v>3</v>
      </c>
      <c r="F74" s="198">
        <v>4</v>
      </c>
      <c r="G74" s="198">
        <v>3</v>
      </c>
      <c r="H74" s="107">
        <f t="shared" si="38"/>
        <v>3.3333333333333335</v>
      </c>
      <c r="I74" s="98">
        <f t="shared" si="39"/>
        <v>8.3333333333333343E-2</v>
      </c>
      <c r="J74" s="99"/>
      <c r="K74" s="99"/>
      <c r="L74" s="110">
        <v>55</v>
      </c>
      <c r="M74" s="111" t="str">
        <f t="shared" si="0"/>
        <v/>
      </c>
      <c r="N74" s="111" t="str">
        <f t="shared" si="10"/>
        <v xml:space="preserve">Естетичність ЗПО. </v>
      </c>
      <c r="O74" s="111"/>
      <c r="P74" s="111" t="str">
        <f t="shared" si="11"/>
        <v/>
      </c>
      <c r="Q74" s="111" t="str">
        <f t="shared" si="12"/>
        <v/>
      </c>
      <c r="S74" s="112" t="str">
        <f>IF(M74="","","К55")</f>
        <v/>
      </c>
      <c r="T74" s="112" t="str">
        <f>IF(N74="","","К55")</f>
        <v>К55</v>
      </c>
      <c r="U74" s="112" t="str">
        <f>IF(O74="","","К55")</f>
        <v/>
      </c>
      <c r="V74" s="112" t="str">
        <f>IF(P74="","","К55")</f>
        <v/>
      </c>
      <c r="W74" s="112" t="str">
        <f>IF(Q74="","","К55")</f>
        <v/>
      </c>
      <c r="Y74" s="112"/>
      <c r="Z74" s="121"/>
      <c r="AA74" s="121"/>
      <c r="AB74" s="121"/>
      <c r="AC74" s="121"/>
      <c r="AD74" s="121"/>
      <c r="AE74" s="121"/>
      <c r="AF74" s="121"/>
      <c r="AG74" s="121"/>
      <c r="AH74" s="121"/>
      <c r="AI74" s="115"/>
      <c r="AJ74" s="115"/>
      <c r="AK74" s="115"/>
      <c r="AL74" s="115"/>
      <c r="AM74" s="115"/>
      <c r="AN74" s="115"/>
      <c r="AO74" s="115"/>
      <c r="AP74" s="115"/>
      <c r="AQ74" s="115"/>
      <c r="AR74" s="115"/>
      <c r="AS74" s="115"/>
      <c r="AT74" s="76" t="s">
        <v>126</v>
      </c>
    </row>
    <row r="76" spans="1:46" s="3" customFormat="1">
      <c r="A76" s="168"/>
      <c r="B76" s="168"/>
      <c r="C76" s="168"/>
      <c r="D76" s="60"/>
      <c r="E76" s="61"/>
      <c r="F76" s="61"/>
      <c r="G76" s="61"/>
      <c r="H76" s="61"/>
      <c r="I76" s="61"/>
      <c r="J76" s="61"/>
      <c r="K76" s="61"/>
      <c r="L76" s="9"/>
      <c r="M76" s="16"/>
      <c r="N76" s="16"/>
      <c r="O76" s="16"/>
      <c r="P76" s="16"/>
      <c r="Q76" s="16"/>
      <c r="S76" s="4"/>
      <c r="T76" s="4"/>
      <c r="U76" s="4"/>
      <c r="V76" s="4"/>
      <c r="W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4"/>
    </row>
    <row r="77" spans="1:46" s="3" customFormat="1">
      <c r="A77" s="166"/>
      <c r="B77" s="166"/>
      <c r="C77" s="166"/>
      <c r="D77" s="166"/>
      <c r="E77" s="61"/>
      <c r="F77" s="61"/>
      <c r="G77" s="61"/>
      <c r="H77" s="61"/>
      <c r="I77" s="61"/>
      <c r="J77" s="61"/>
      <c r="K77" s="61"/>
      <c r="L77" s="9"/>
      <c r="M77" s="16"/>
      <c r="N77" s="16"/>
      <c r="O77" s="16"/>
      <c r="P77" s="16"/>
      <c r="Q77" s="16"/>
      <c r="S77" s="4"/>
      <c r="T77" s="4"/>
      <c r="U77" s="4"/>
      <c r="V77" s="4"/>
      <c r="W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4"/>
    </row>
    <row r="78" spans="1:46" s="3" customFormat="1">
      <c r="A78" s="166"/>
      <c r="B78" s="166"/>
      <c r="C78" s="166"/>
      <c r="D78" s="166"/>
      <c r="E78" s="61"/>
      <c r="F78" s="61"/>
      <c r="G78" s="61"/>
      <c r="H78" s="61"/>
      <c r="I78" s="61"/>
      <c r="J78" s="61"/>
      <c r="K78" s="61"/>
      <c r="L78" s="9"/>
      <c r="M78" s="16"/>
      <c r="N78" s="16"/>
      <c r="O78" s="16"/>
      <c r="P78" s="16"/>
      <c r="Q78" s="16"/>
      <c r="S78" s="4"/>
      <c r="T78" s="4"/>
      <c r="U78" s="4"/>
      <c r="V78" s="4"/>
      <c r="W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4"/>
    </row>
    <row r="79" spans="1:46" s="3" customFormat="1">
      <c r="A79" s="166"/>
      <c r="B79" s="166"/>
      <c r="C79" s="166"/>
      <c r="D79" s="166"/>
      <c r="E79" s="61"/>
      <c r="F79" s="61"/>
      <c r="G79" s="61"/>
      <c r="H79" s="61"/>
      <c r="I79" s="61"/>
      <c r="J79" s="61"/>
      <c r="K79" s="61"/>
      <c r="L79" s="9"/>
      <c r="M79" s="16"/>
      <c r="N79" s="16"/>
      <c r="O79" s="16"/>
      <c r="P79" s="16"/>
      <c r="Q79" s="16"/>
      <c r="S79" s="4"/>
      <c r="T79" s="4"/>
      <c r="U79" s="4"/>
      <c r="V79" s="4"/>
      <c r="W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4"/>
    </row>
    <row r="80" spans="1:46" s="3" customFormat="1">
      <c r="A80" s="166"/>
      <c r="B80" s="166"/>
      <c r="C80" s="166"/>
      <c r="D80" s="166"/>
      <c r="E80" s="61"/>
      <c r="F80" s="61"/>
      <c r="G80" s="61"/>
      <c r="H80" s="61"/>
      <c r="I80" s="61"/>
      <c r="J80" s="61"/>
      <c r="K80" s="61"/>
      <c r="L80" s="9"/>
      <c r="M80" s="16"/>
      <c r="N80" s="16"/>
      <c r="O80" s="16"/>
      <c r="P80" s="16"/>
      <c r="Q80" s="16"/>
      <c r="S80" s="4"/>
      <c r="T80" s="4"/>
      <c r="U80" s="4"/>
      <c r="V80" s="4"/>
      <c r="W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4"/>
    </row>
    <row r="81" spans="1:46" s="3" customFormat="1">
      <c r="A81" s="166"/>
      <c r="B81" s="166"/>
      <c r="C81" s="166"/>
      <c r="D81" s="166"/>
      <c r="E81" s="61"/>
      <c r="F81" s="61"/>
      <c r="G81" s="61"/>
      <c r="H81" s="61"/>
      <c r="I81" s="61"/>
      <c r="J81" s="61"/>
      <c r="K81" s="61"/>
      <c r="L81" s="9"/>
      <c r="M81" s="16"/>
      <c r="N81" s="16"/>
      <c r="O81" s="16"/>
      <c r="P81" s="16"/>
      <c r="Q81" s="16"/>
      <c r="S81" s="4"/>
      <c r="T81" s="4"/>
      <c r="U81" s="4"/>
      <c r="V81" s="4"/>
      <c r="W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4"/>
    </row>
    <row r="82" spans="1:46" s="3" customFormat="1">
      <c r="A82" s="62"/>
      <c r="B82" s="62"/>
      <c r="C82" s="63"/>
      <c r="D82" s="60"/>
      <c r="E82" s="61"/>
      <c r="F82" s="61"/>
      <c r="G82" s="61"/>
      <c r="H82" s="61"/>
      <c r="I82" s="61"/>
      <c r="J82" s="61"/>
      <c r="K82" s="61"/>
      <c r="L82" s="9"/>
      <c r="M82" s="16"/>
      <c r="N82" s="16"/>
      <c r="O82" s="16"/>
      <c r="P82" s="16"/>
      <c r="Q82" s="16"/>
      <c r="S82" s="4"/>
      <c r="T82" s="4"/>
      <c r="U82" s="4"/>
      <c r="V82" s="4"/>
      <c r="W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4"/>
    </row>
    <row r="83" spans="1:46" s="14" customFormat="1">
      <c r="A83" s="167"/>
      <c r="B83" s="167"/>
      <c r="C83" s="167"/>
      <c r="D83" s="167"/>
      <c r="E83" s="64"/>
      <c r="F83" s="64"/>
      <c r="G83" s="64"/>
      <c r="H83" s="64"/>
      <c r="I83" s="64"/>
      <c r="J83" s="64"/>
      <c r="K83" s="64"/>
      <c r="L83" s="10"/>
      <c r="M83" s="17"/>
      <c r="N83" s="16"/>
      <c r="O83" s="16"/>
      <c r="P83" s="16"/>
      <c r="Q83" s="16"/>
      <c r="S83" s="4"/>
      <c r="T83" s="4"/>
      <c r="U83" s="4"/>
      <c r="V83" s="4"/>
      <c r="W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4"/>
    </row>
    <row r="90" spans="1:46" hidden="1">
      <c r="C90" s="26" t="s">
        <v>254</v>
      </c>
    </row>
    <row r="91" spans="1:46" hidden="1">
      <c r="C91" s="26" t="s">
        <v>255</v>
      </c>
    </row>
    <row r="92" spans="1:46" hidden="1">
      <c r="C92" s="26" t="s">
        <v>256</v>
      </c>
    </row>
    <row r="93" spans="1:46" hidden="1">
      <c r="C93" s="26" t="s">
        <v>257</v>
      </c>
    </row>
    <row r="94" spans="1:46" hidden="1">
      <c r="C94" s="26" t="s">
        <v>258</v>
      </c>
    </row>
  </sheetData>
  <sheetProtection password="CC43" sheet="1" objects="1" scenarios="1"/>
  <mergeCells count="83">
    <mergeCell ref="B13:C13"/>
    <mergeCell ref="A6:B6"/>
    <mergeCell ref="A7:B7"/>
    <mergeCell ref="C7:I7"/>
    <mergeCell ref="B9:C11"/>
    <mergeCell ref="A9:A11"/>
    <mergeCell ref="B71:C71"/>
    <mergeCell ref="B72:C72"/>
    <mergeCell ref="B73:C73"/>
    <mergeCell ref="B74:C74"/>
    <mergeCell ref="B15:C1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A1:I1"/>
    <mergeCell ref="B14:C14"/>
    <mergeCell ref="B16:C16"/>
    <mergeCell ref="B17:C17"/>
    <mergeCell ref="A79:D79"/>
    <mergeCell ref="B30:C30"/>
    <mergeCell ref="B18:C18"/>
    <mergeCell ref="B19:C19"/>
    <mergeCell ref="B21:C21"/>
    <mergeCell ref="B22:C22"/>
    <mergeCell ref="B23:C23"/>
    <mergeCell ref="B24:C24"/>
    <mergeCell ref="B26:C26"/>
    <mergeCell ref="B27:C27"/>
    <mergeCell ref="B28:C28"/>
    <mergeCell ref="B29:C29"/>
    <mergeCell ref="A2:I2"/>
    <mergeCell ref="A81:D81"/>
    <mergeCell ref="A83:D83"/>
    <mergeCell ref="A3:E3"/>
    <mergeCell ref="A76:C76"/>
    <mergeCell ref="A77:D77"/>
    <mergeCell ref="A78:D78"/>
    <mergeCell ref="A4:I4"/>
    <mergeCell ref="E10:G10"/>
    <mergeCell ref="E9:H9"/>
    <mergeCell ref="H10:H11"/>
    <mergeCell ref="A5:I5"/>
    <mergeCell ref="I9:I11"/>
    <mergeCell ref="A80:D80"/>
    <mergeCell ref="B25:C25"/>
    <mergeCell ref="B20:C2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D10"/>
  <sheetViews>
    <sheetView topLeftCell="B1" workbookViewId="0">
      <selection activeCell="B3" sqref="B3:D3"/>
    </sheetView>
  </sheetViews>
  <sheetFormatPr defaultColWidth="9.109375" defaultRowHeight="18"/>
  <cols>
    <col min="1" max="1" width="1.6640625" style="1" customWidth="1"/>
    <col min="2" max="2" width="61.5546875" style="18" customWidth="1"/>
    <col min="3" max="3" width="0.33203125" style="18" customWidth="1"/>
    <col min="4" max="4" width="65.44140625" style="18" customWidth="1"/>
    <col min="5" max="5" width="1.88671875" style="1" customWidth="1"/>
    <col min="6" max="19" width="9.109375" style="1"/>
    <col min="20" max="20" width="9.109375" style="1" customWidth="1"/>
    <col min="21" max="16384" width="9.109375" style="1"/>
  </cols>
  <sheetData>
    <row r="1" spans="2:4">
      <c r="B1" s="156" t="s">
        <v>273</v>
      </c>
      <c r="C1" s="156"/>
      <c r="D1" s="156"/>
    </row>
    <row r="2" spans="2:4">
      <c r="B2" s="156" t="s">
        <v>274</v>
      </c>
      <c r="C2" s="156"/>
      <c r="D2" s="156"/>
    </row>
    <row r="3" spans="2:4" ht="36.75" customHeight="1">
      <c r="B3" s="194" t="str">
        <f>IF(Бланк!A3="","",Бланк!A3)</f>
        <v>назва ЗПО</v>
      </c>
      <c r="C3" s="194"/>
      <c r="D3" s="194"/>
    </row>
    <row r="4" spans="2:4" ht="9" customHeight="1">
      <c r="B4" s="65"/>
      <c r="C4" s="65"/>
      <c r="D4" s="65"/>
    </row>
    <row r="5" spans="2:4">
      <c r="B5" s="66" t="s">
        <v>68</v>
      </c>
      <c r="C5" s="67"/>
      <c r="D5" s="68" t="s">
        <v>69</v>
      </c>
    </row>
    <row r="6" spans="2:4" ht="219" customHeight="1">
      <c r="B6" s="144" t="str">
        <f>IF(Програма!BH14="","",Програма!BH14)</f>
        <v xml:space="preserve">Статут. Органи управління. Освітня програма. Навчальні програми. Результативність участі в заходах. Режим роботи. Техніка безпеки. Санітарія. Репутація ЗПО. </v>
      </c>
      <c r="C6" s="69"/>
      <c r="D6" s="145" t="str">
        <f>IF(Програма!BI14="","",Програма!BI14)</f>
        <v xml:space="preserve">План роботи. Структура ЗПО. Взаємодія підрозділів. Загальні збори. Педрада. Інформаційне забезпечення. Роботв зі стейкхолдерами. Комплектування гуртків. Динаміка контингенту. Гурткова робота. Індивідуальна робота. Дистанційна освіта. Інклюзія. Профілізація. Цифрові технології. Організація участі в заходах. Культурне дозвілля. Соціально-психологічний клімат. Забезпеченість кадрами. Розподіл педкадрів. Стабільність педскладу. Робота з молодими спеціалістами. Методичний супровід. Мотиваційне середовище. Готовність до інновацій. Взаємодія з дітьми. Безперервна освіта педкадрів. Необхідні приміщення. Відповідність приміщень. Використання приміщень. Взаємодія з закладами освіти. Співпраця з ГО, БФ. Інфраструктурні умови. Інформаційна відкритість. Вебсайт. Естетичність ЗПО. </v>
      </c>
    </row>
    <row r="7" spans="2:4" ht="1.5" customHeight="1">
      <c r="B7" s="70"/>
      <c r="C7" s="71"/>
      <c r="D7" s="72"/>
    </row>
    <row r="8" spans="2:4" ht="18" customHeight="1">
      <c r="B8" s="73" t="s">
        <v>275</v>
      </c>
      <c r="C8" s="67"/>
      <c r="D8" s="74" t="s">
        <v>70</v>
      </c>
    </row>
    <row r="9" spans="2:4" ht="165" customHeight="1">
      <c r="B9" s="78" t="str">
        <f>IF(Програма!BK14="","",Програма!BK14)</f>
        <v xml:space="preserve">Учнівське самоврядування. Взаємодія з соцслужбами. Робота з дітьми соцкатегорій. </v>
      </c>
      <c r="C9" s="75"/>
      <c r="D9" s="79" t="str">
        <f>IF(Програма!BL14="","",Програма!BL14)</f>
        <v/>
      </c>
    </row>
    <row r="10" spans="2:4" ht="6.75" customHeight="1"/>
  </sheetData>
  <sheetProtection password="CC43" sheet="1" objects="1" scenarios="1"/>
  <mergeCells count="3">
    <mergeCell ref="B1:D1"/>
    <mergeCell ref="B2:D2"/>
    <mergeCell ref="B3:D3"/>
  </mergeCells>
  <pageMargins left="0.70866141732283472" right="0.70866141732283472" top="0.74803149606299213" bottom="0.42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R7"/>
  <sheetViews>
    <sheetView workbookViewId="0">
      <selection activeCell="A3" sqref="A3:J3"/>
    </sheetView>
  </sheetViews>
  <sheetFormatPr defaultRowHeight="14.4"/>
  <cols>
    <col min="10" max="10" width="5" customWidth="1"/>
    <col min="13" max="13" width="55.6640625" customWidth="1"/>
    <col min="15" max="15" width="48.5546875" customWidth="1"/>
    <col min="16" max="16" width="9.44140625" bestFit="1" customWidth="1"/>
    <col min="17" max="17" width="9.33203125" bestFit="1" customWidth="1"/>
  </cols>
  <sheetData>
    <row r="1" spans="1:44" s="1" customFormat="1" ht="18">
      <c r="A1" s="149" t="s">
        <v>267</v>
      </c>
      <c r="B1" s="149"/>
      <c r="C1" s="149"/>
      <c r="D1" s="149"/>
      <c r="E1" s="149"/>
      <c r="F1" s="149"/>
      <c r="G1" s="149"/>
      <c r="H1" s="149"/>
      <c r="I1" s="149"/>
      <c r="J1" s="149"/>
      <c r="O1" s="85" t="s">
        <v>73</v>
      </c>
      <c r="P1" s="86">
        <f t="shared" ref="P1:P7" si="0">Q1/4</f>
        <v>0.83333333333333326</v>
      </c>
      <c r="Q1" s="87">
        <f>Програма!K14</f>
        <v>3.333333333333333</v>
      </c>
    </row>
    <row r="2" spans="1:44" s="1" customFormat="1" ht="18">
      <c r="A2" s="149" t="s">
        <v>269</v>
      </c>
      <c r="B2" s="149"/>
      <c r="C2" s="149"/>
      <c r="D2" s="149"/>
      <c r="E2" s="149"/>
      <c r="F2" s="149"/>
      <c r="G2" s="149"/>
      <c r="H2" s="149"/>
      <c r="I2" s="149"/>
      <c r="J2" s="149"/>
      <c r="O2" s="85" t="s">
        <v>264</v>
      </c>
      <c r="P2" s="86">
        <f t="shared" si="0"/>
        <v>0.75980392156862753</v>
      </c>
      <c r="Q2" s="87">
        <f>Програма!K23</f>
        <v>3.0392156862745101</v>
      </c>
    </row>
    <row r="3" spans="1:44" s="1" customFormat="1" ht="18.75" customHeight="1">
      <c r="A3" s="149" t="s">
        <v>271</v>
      </c>
      <c r="B3" s="149"/>
      <c r="C3" s="149"/>
      <c r="D3" s="149"/>
      <c r="E3" s="149"/>
      <c r="F3" s="149"/>
      <c r="G3" s="149"/>
      <c r="H3" s="149"/>
      <c r="I3" s="149"/>
      <c r="J3" s="149"/>
      <c r="L3" s="84" t="s">
        <v>270</v>
      </c>
      <c r="O3" s="88" t="s">
        <v>74</v>
      </c>
      <c r="P3" s="86">
        <f t="shared" si="0"/>
        <v>0.75</v>
      </c>
      <c r="Q3" s="87">
        <f>Програма!K41</f>
        <v>3</v>
      </c>
    </row>
    <row r="4" spans="1:44" s="1" customFormat="1" ht="60" customHeight="1">
      <c r="A4" s="195" t="str">
        <f>IF(Бланк!A3="","",Бланк!A3)</f>
        <v>назва ЗПО</v>
      </c>
      <c r="B4" s="195"/>
      <c r="C4" s="195"/>
      <c r="D4" s="195"/>
      <c r="E4" s="195"/>
      <c r="F4" s="195"/>
      <c r="G4" s="195"/>
      <c r="H4" s="195"/>
      <c r="I4" s="195"/>
      <c r="J4" s="195"/>
      <c r="O4" s="85" t="s">
        <v>265</v>
      </c>
      <c r="P4" s="86">
        <f t="shared" si="0"/>
        <v>0.63888888888888895</v>
      </c>
      <c r="Q4" s="87">
        <f>Програма!K52</f>
        <v>2.5555555555555558</v>
      </c>
    </row>
    <row r="5" spans="1:44" s="1" customFormat="1" ht="10.8" customHeight="1">
      <c r="O5" s="85" t="s">
        <v>266</v>
      </c>
      <c r="P5" s="86">
        <f t="shared" si="0"/>
        <v>0.48333333333333328</v>
      </c>
      <c r="Q5" s="87">
        <f>Програма!K59</f>
        <v>1.9333333333333331</v>
      </c>
    </row>
    <row r="6" spans="1:44" s="1" customFormat="1" ht="10.5" customHeight="1">
      <c r="A6"/>
      <c r="B6"/>
      <c r="C6"/>
      <c r="D6"/>
      <c r="E6"/>
      <c r="F6"/>
      <c r="G6"/>
      <c r="H6"/>
      <c r="I6"/>
      <c r="J6"/>
      <c r="K6"/>
      <c r="L6"/>
      <c r="M6"/>
      <c r="N6"/>
      <c r="O6" s="89" t="s">
        <v>75</v>
      </c>
      <c r="P6" s="90">
        <f t="shared" si="0"/>
        <v>0.91666666666666663</v>
      </c>
      <c r="Q6" s="91">
        <f>Програма!K65</f>
        <v>3.6666666666666665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 spans="1:44" ht="16.8">
      <c r="O7" s="92" t="s">
        <v>38</v>
      </c>
      <c r="P7" s="90">
        <f t="shared" si="0"/>
        <v>0.81666666666666665</v>
      </c>
      <c r="Q7" s="91">
        <f>Програма!K69</f>
        <v>3.2666666666666666</v>
      </c>
    </row>
  </sheetData>
  <sheetProtection password="CC43" sheet="1" objects="1" scenarios="1"/>
  <mergeCells count="4">
    <mergeCell ref="A1:J1"/>
    <mergeCell ref="A2:J2"/>
    <mergeCell ref="A4:J4"/>
    <mergeCell ref="A3:J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Інструкція</vt:lpstr>
      <vt:lpstr>Базова</vt:lpstr>
      <vt:lpstr>Бланк</vt:lpstr>
      <vt:lpstr>Програма</vt:lpstr>
      <vt:lpstr>Таблиця</vt:lpstr>
      <vt:lpstr>Портрет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MGS</dc:creator>
  <cp:lastModifiedBy>User</cp:lastModifiedBy>
  <cp:lastPrinted>2026-09-07T09:11:20Z</cp:lastPrinted>
  <dcterms:created xsi:type="dcterms:W3CDTF">2020-11-11T06:07:41Z</dcterms:created>
  <dcterms:modified xsi:type="dcterms:W3CDTF">2026-09-16T09:22:50Z</dcterms:modified>
</cp:coreProperties>
</file>